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Tables/pivotTable16.xml" ContentType="application/vnd.openxmlformats-officedocument.spreadsheetml.pivotTable+xml"/>
  <Override PartName="/xl/pivotTables/pivotTable15.xml" ContentType="application/vnd.openxmlformats-officedocument.spreadsheetml.pivotTable+xml"/>
  <Override PartName="/xl/pivotTables/pivotTable14.xml" ContentType="application/vnd.openxmlformats-officedocument.spreadsheetml.pivotTable+xml"/>
  <Override PartName="/xl/pivotTables/pivotTable9.xml" ContentType="application/vnd.openxmlformats-officedocument.spreadsheetml.pivotTable+xml"/>
  <Override PartName="/xl/pivotTables/pivotTable8.xml" ContentType="application/vnd.openxmlformats-officedocument.spreadsheetml.pivotTable+xml"/>
  <Override PartName="/xl/pivotTables/pivotTable7.xml" ContentType="application/vnd.openxmlformats-officedocument.spreadsheetml.pivotTable+xml"/>
  <Override PartName="/xl/pivotTables/pivotTable6.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5.xml" ContentType="application/vnd.openxmlformats-officedocument.spreadsheetml.pivotTable+xml"/>
  <Override PartName="/xl/worksheets/sheet1.xml" ContentType="application/vnd.openxmlformats-officedocument.spreadsheetml.worksheet+xml"/>
  <Override PartName="/xl/pivotTables/pivotTable3.xml" ContentType="application/vnd.openxmlformats-officedocument.spreadsheetml.pivotTable+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Tables/pivotTable4.xml" ContentType="application/vnd.openxmlformats-officedocument.spreadsheetml.pivotTable+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3.xml" ContentType="application/vnd.openxmlformats-officedocument.spreadsheetml.comments+xml"/>
  <Override PartName="/xl/pivotCache/pivotCacheDefinition1.xml" ContentType="application/vnd.openxmlformats-officedocument.spreadsheetml.pivotCacheDefinition+xml"/>
  <Override PartName="/xl/comments7.xml" ContentType="application/vnd.openxmlformats-officedocument.spreadsheetml.comments+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externalLinks/externalLink1.xml" ContentType="application/vnd.openxmlformats-officedocument.spreadsheetml.externalLink+xml"/>
  <Override PartName="/xl/pivotCache/pivotCacheDefinition3.xml" ContentType="application/vnd.openxmlformats-officedocument.spreadsheetml.pivotCacheDefinition+xml"/>
  <Override PartName="/xl/comments5.xml" ContentType="application/vnd.openxmlformats-officedocument.spreadsheetml.comments+xml"/>
  <Override PartName="/xl/comments6.xml" ContentType="application/vnd.openxmlformats-officedocument.spreadsheetml.comments+xml"/>
  <Override PartName="/xl/comments4.xml" ContentType="application/vnd.openxmlformats-officedocument.spreadsheetml.comments+xml"/>
  <Override PartName="/xl/pivotCache/pivotCacheDefinition4.xml" ContentType="application/vnd.openxmlformats-officedocument.spreadsheetml.pivotCacheDefinition+xml"/>
  <Override PartName="/xl/comments2.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xl/comments8.xml" ContentType="application/vnd.openxmlformats-officedocument.spreadsheetml.comments+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Records3.xml" ContentType="application/vnd.openxmlformats-officedocument.spreadsheetml.pivotCacheRecords+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0260" windowHeight="7485" tabRatio="897" firstSheet="5" activeTab="11"/>
  </bookViews>
  <sheets>
    <sheet name="PEN Final Ajustado 03-07" sheetId="150" r:id="rId1"/>
    <sheet name="GAP 15-17" sheetId="157" r:id="rId2"/>
    <sheet name="Dados Detalhados" sheetId="156" r:id="rId3"/>
    <sheet name="Unit price list" sheetId="171" r:id="rId4"/>
    <sheet name="Para word " sheetId="163" r:id="rId5"/>
    <sheet name="Para word  (2)" sheetId="174" r:id="rId6"/>
    <sheet name="Tab Dinamica 2013-2017" sheetId="160" r:id="rId7"/>
    <sheet name="GAP 13-17 " sheetId="158" r:id="rId8"/>
    <sheet name="RSS" sheetId="172" r:id="rId9"/>
    <sheet name="Tab Dinamica 2015-2017" sheetId="159" r:id="rId10"/>
    <sheet name="Tab Din2013-2017-Parceiros" sheetId="161" r:id="rId11"/>
    <sheet name="Tab Din15-17-Prioridade FG" sheetId="162" r:id="rId12"/>
    <sheet name="RSS- FG" sheetId="173" r:id="rId13"/>
    <sheet name="GAP 15" sheetId="164" r:id="rId14"/>
    <sheet name="Tab Din2015" sheetId="168" r:id="rId15"/>
    <sheet name="GAP 16" sheetId="165" r:id="rId16"/>
    <sheet name="Tab Din2016" sheetId="169" r:id="rId17"/>
    <sheet name="GAP 17" sheetId="166" r:id="rId18"/>
    <sheet name="Tab Din2017" sheetId="170" r:id="rId19"/>
  </sheets>
  <externalReferences>
    <externalReference r:id="rId20"/>
  </externalReferences>
  <definedNames>
    <definedName name="_xlnm._FilterDatabase" localSheetId="2" hidden="1">'Dados Detalhados'!$B$2:$N$2</definedName>
    <definedName name="_xlnm._FilterDatabase" localSheetId="7" hidden="1">'GAP 13-17 '!$A$4:$V$4</definedName>
    <definedName name="_xlnm._FilterDatabase" localSheetId="13" hidden="1">'GAP 15'!$A$4:$T$160</definedName>
    <definedName name="_xlnm._FilterDatabase" localSheetId="1" hidden="1">'GAP 15-17'!$M$4:$O$169</definedName>
    <definedName name="_xlnm._FilterDatabase" localSheetId="15" hidden="1">'GAP 16'!$A$4:$T$160</definedName>
    <definedName name="_xlnm._FilterDatabase" localSheetId="17" hidden="1">'GAP 17'!$A$4:$T$162</definedName>
    <definedName name="_xlnm._FilterDatabase" localSheetId="0" hidden="1">'PEN Final Ajustado 03-07'!$A$4:$Q$160</definedName>
    <definedName name="Eric" localSheetId="7">#REF!</definedName>
    <definedName name="Eric" localSheetId="13">#REF!</definedName>
    <definedName name="Eric" localSheetId="1">#REF!</definedName>
    <definedName name="Eric" localSheetId="15">#REF!</definedName>
    <definedName name="Eric" localSheetId="17">#REF!</definedName>
    <definedName name="Eric" localSheetId="5">#REF!</definedName>
    <definedName name="Eric" localSheetId="0">#REF!</definedName>
    <definedName name="Eric" localSheetId="8">#REF!</definedName>
    <definedName name="Eric" localSheetId="12">#REF!</definedName>
    <definedName name="Eric" localSheetId="14">#REF!</definedName>
    <definedName name="Eric" localSheetId="16">#REF!</definedName>
    <definedName name="Eric" localSheetId="18">#REF!</definedName>
    <definedName name="Eric">#REF!</definedName>
  </definedNames>
  <calcPr calcId="125725"/>
  <pivotCaches>
    <pivotCache cacheId="6" r:id="rId21"/>
    <pivotCache cacheId="7" r:id="rId22"/>
    <pivotCache cacheId="8" r:id="rId23"/>
    <pivotCache cacheId="9" r:id="rId24"/>
    <pivotCache cacheId="10" r:id="rId25"/>
    <pivotCache cacheId="11" r:id="rId26"/>
  </pivotCaches>
</workbook>
</file>

<file path=xl/calcChain.xml><?xml version="1.0" encoding="utf-8"?>
<calcChain xmlns="http://schemas.openxmlformats.org/spreadsheetml/2006/main">
  <c r="G6" i="160"/>
  <c r="G7"/>
  <c r="G8"/>
  <c r="G9"/>
  <c r="G10"/>
  <c r="G11"/>
  <c r="G12"/>
  <c r="G13"/>
  <c r="G14"/>
  <c r="G15"/>
  <c r="G16"/>
  <c r="G17"/>
  <c r="G18"/>
  <c r="G19"/>
  <c r="G20"/>
  <c r="G21"/>
  <c r="G22"/>
  <c r="G23"/>
  <c r="G24"/>
  <c r="G25"/>
  <c r="G26"/>
  <c r="G5"/>
  <c r="B222" i="163"/>
  <c r="C222"/>
  <c r="D222"/>
  <c r="B223"/>
  <c r="C223"/>
  <c r="D223"/>
  <c r="B214"/>
  <c r="C214"/>
  <c r="D214"/>
  <c r="B215"/>
  <c r="C215"/>
  <c r="D215"/>
  <c r="B216"/>
  <c r="C216"/>
  <c r="D216"/>
  <c r="B217"/>
  <c r="C217"/>
  <c r="D217"/>
  <c r="B218"/>
  <c r="C218"/>
  <c r="D218"/>
  <c r="B219"/>
  <c r="C219"/>
  <c r="D219"/>
  <c r="B220"/>
  <c r="C220"/>
  <c r="D220"/>
  <c r="B221"/>
  <c r="C221"/>
  <c r="D221"/>
  <c r="B212"/>
  <c r="C212"/>
  <c r="D212"/>
  <c r="B213"/>
  <c r="C213"/>
  <c r="D213"/>
  <c r="B211"/>
  <c r="C211"/>
  <c r="D211"/>
  <c r="B209"/>
  <c r="C209"/>
  <c r="D209"/>
  <c r="B210"/>
  <c r="C210"/>
  <c r="D210"/>
  <c r="B208"/>
  <c r="C208"/>
  <c r="D208"/>
  <c r="B205"/>
  <c r="C205"/>
  <c r="D205"/>
  <c r="E205"/>
  <c r="F205"/>
  <c r="G205"/>
  <c r="I205"/>
  <c r="B206"/>
  <c r="C206"/>
  <c r="D206"/>
  <c r="E206"/>
  <c r="G206"/>
  <c r="H206"/>
  <c r="I206"/>
  <c r="B207"/>
  <c r="C207"/>
  <c r="D207"/>
  <c r="E207"/>
  <c r="F207"/>
  <c r="I207"/>
  <c r="B200"/>
  <c r="C200"/>
  <c r="D200"/>
  <c r="B199"/>
  <c r="C199"/>
  <c r="D199"/>
  <c r="B192"/>
  <c r="C192"/>
  <c r="D192"/>
  <c r="B193"/>
  <c r="C193"/>
  <c r="D193"/>
  <c r="B194"/>
  <c r="C194"/>
  <c r="D194"/>
  <c r="B187"/>
  <c r="C187"/>
  <c r="D187"/>
  <c r="B182"/>
  <c r="C182"/>
  <c r="D182"/>
  <c r="B183"/>
  <c r="C183"/>
  <c r="D183"/>
  <c r="B184"/>
  <c r="C184"/>
  <c r="D184"/>
  <c r="B185"/>
  <c r="C185"/>
  <c r="D185"/>
  <c r="B186"/>
  <c r="C186"/>
  <c r="D186"/>
  <c r="B180"/>
  <c r="C180"/>
  <c r="D180"/>
  <c r="B181"/>
  <c r="C181"/>
  <c r="D181"/>
  <c r="F181"/>
  <c r="H181"/>
  <c r="I181"/>
  <c r="B177"/>
  <c r="C177"/>
  <c r="D177"/>
  <c r="B178"/>
  <c r="C178"/>
  <c r="D178"/>
  <c r="B179"/>
  <c r="C179"/>
  <c r="D179"/>
  <c r="B171"/>
  <c r="C171"/>
  <c r="D171"/>
  <c r="B172"/>
  <c r="C172"/>
  <c r="D172"/>
  <c r="B170"/>
  <c r="C170"/>
  <c r="D170"/>
  <c r="B165"/>
  <c r="C165"/>
  <c r="D165"/>
  <c r="E165"/>
  <c r="F165"/>
  <c r="H165"/>
  <c r="I165"/>
  <c r="B166"/>
  <c r="C166"/>
  <c r="D166"/>
  <c r="B167"/>
  <c r="C167"/>
  <c r="D167"/>
  <c r="B168"/>
  <c r="C168"/>
  <c r="D168"/>
  <c r="B169"/>
  <c r="C169"/>
  <c r="D169"/>
  <c r="B158"/>
  <c r="C158"/>
  <c r="D158"/>
  <c r="B159"/>
  <c r="C159"/>
  <c r="D159"/>
  <c r="E159"/>
  <c r="G159"/>
  <c r="H159"/>
  <c r="I159"/>
  <c r="B156"/>
  <c r="C156"/>
  <c r="D156"/>
  <c r="E156"/>
  <c r="G156"/>
  <c r="H156"/>
  <c r="I156"/>
  <c r="B157"/>
  <c r="C157"/>
  <c r="D157"/>
  <c r="E157"/>
  <c r="F157"/>
  <c r="G157"/>
  <c r="I157"/>
  <c r="B154"/>
  <c r="C154"/>
  <c r="D154"/>
  <c r="B155"/>
  <c r="C155"/>
  <c r="D155"/>
  <c r="B150"/>
  <c r="C150"/>
  <c r="D150"/>
  <c r="B151"/>
  <c r="C151"/>
  <c r="D151"/>
  <c r="F151"/>
  <c r="G151"/>
  <c r="H151"/>
  <c r="I151"/>
  <c r="B152"/>
  <c r="C152"/>
  <c r="D152"/>
  <c r="B153"/>
  <c r="C153"/>
  <c r="D153"/>
  <c r="B143"/>
  <c r="C143"/>
  <c r="D143"/>
  <c r="B144"/>
  <c r="C144"/>
  <c r="D144"/>
  <c r="B145"/>
  <c r="C145"/>
  <c r="D145"/>
  <c r="B141"/>
  <c r="C141"/>
  <c r="D141"/>
  <c r="B142"/>
  <c r="C142"/>
  <c r="D142"/>
  <c r="B139"/>
  <c r="C139"/>
  <c r="D139"/>
  <c r="B140"/>
  <c r="C140"/>
  <c r="D140"/>
  <c r="E140"/>
  <c r="B132"/>
  <c r="C132"/>
  <c r="D132"/>
  <c r="E132"/>
  <c r="F132"/>
  <c r="H132"/>
  <c r="I132"/>
  <c r="B133"/>
  <c r="C133"/>
  <c r="D133"/>
  <c r="E133"/>
  <c r="F133"/>
  <c r="G133"/>
  <c r="I133"/>
  <c r="B130"/>
  <c r="C130"/>
  <c r="D130"/>
  <c r="F130"/>
  <c r="G130"/>
  <c r="H130"/>
  <c r="I130"/>
  <c r="B131"/>
  <c r="C131"/>
  <c r="D131"/>
  <c r="E131"/>
  <c r="F131"/>
  <c r="H131"/>
  <c r="I131"/>
  <c r="B123"/>
  <c r="C123"/>
  <c r="D123"/>
  <c r="B124"/>
  <c r="C124"/>
  <c r="D124"/>
  <c r="B125"/>
  <c r="C125"/>
  <c r="D125"/>
  <c r="E125"/>
  <c r="G125"/>
  <c r="H125"/>
  <c r="I125"/>
  <c r="B126"/>
  <c r="C126"/>
  <c r="D126"/>
  <c r="E126"/>
  <c r="F126"/>
  <c r="G126"/>
  <c r="I126"/>
  <c r="B121"/>
  <c r="C121"/>
  <c r="D121"/>
  <c r="B122"/>
  <c r="C122"/>
  <c r="D122"/>
  <c r="B113"/>
  <c r="C113"/>
  <c r="D113"/>
  <c r="E113"/>
  <c r="B114"/>
  <c r="C114"/>
  <c r="D114"/>
  <c r="E114"/>
  <c r="G114"/>
  <c r="I114"/>
  <c r="B115"/>
  <c r="C115"/>
  <c r="D115"/>
  <c r="E115"/>
  <c r="G115"/>
  <c r="I115"/>
  <c r="B116"/>
  <c r="C116"/>
  <c r="D116"/>
  <c r="B112"/>
  <c r="C112"/>
  <c r="D112"/>
  <c r="B107"/>
  <c r="C107"/>
  <c r="D107"/>
  <c r="E107"/>
  <c r="G107"/>
  <c r="H107"/>
  <c r="I107"/>
  <c r="B108"/>
  <c r="C108"/>
  <c r="D108"/>
  <c r="B109"/>
  <c r="C109"/>
  <c r="D109"/>
  <c r="B110"/>
  <c r="C110"/>
  <c r="D110"/>
  <c r="B111"/>
  <c r="C111"/>
  <c r="D111"/>
  <c r="B86"/>
  <c r="C86"/>
  <c r="D86"/>
  <c r="H86"/>
  <c r="I86"/>
  <c r="B87"/>
  <c r="C87"/>
  <c r="D87"/>
  <c r="B88"/>
  <c r="C88"/>
  <c r="D88"/>
  <c r="B89"/>
  <c r="C89"/>
  <c r="D89"/>
  <c r="B90"/>
  <c r="C90"/>
  <c r="D90"/>
  <c r="B91"/>
  <c r="C91"/>
  <c r="D91"/>
  <c r="B92"/>
  <c r="C92"/>
  <c r="D92"/>
  <c r="E92"/>
  <c r="F92"/>
  <c r="H92"/>
  <c r="I92"/>
  <c r="B93"/>
  <c r="C93"/>
  <c r="D93"/>
  <c r="E93"/>
  <c r="F93"/>
  <c r="I93"/>
  <c r="B94"/>
  <c r="C94"/>
  <c r="D94"/>
  <c r="G94"/>
  <c r="H94"/>
  <c r="I94"/>
  <c r="B95"/>
  <c r="C95"/>
  <c r="D95"/>
  <c r="B96"/>
  <c r="C96"/>
  <c r="D96"/>
  <c r="B97"/>
  <c r="C97"/>
  <c r="D97"/>
  <c r="F97"/>
  <c r="G97"/>
  <c r="H97"/>
  <c r="I97"/>
  <c r="B98"/>
  <c r="C98"/>
  <c r="D98"/>
  <c r="E98"/>
  <c r="F98"/>
  <c r="H98"/>
  <c r="I98"/>
  <c r="B99"/>
  <c r="C99"/>
  <c r="D99"/>
  <c r="E99"/>
  <c r="F99"/>
  <c r="G99"/>
  <c r="I99"/>
  <c r="B100"/>
  <c r="C100"/>
  <c r="D100"/>
  <c r="B101"/>
  <c r="C101"/>
  <c r="D101"/>
  <c r="B102"/>
  <c r="C102"/>
  <c r="D102"/>
  <c r="E102"/>
  <c r="F102"/>
  <c r="H102"/>
  <c r="I102"/>
  <c r="L1502" i="156"/>
  <c r="B79" i="163"/>
  <c r="C79"/>
  <c r="D79"/>
  <c r="E79"/>
  <c r="G79"/>
  <c r="I79"/>
  <c r="B80"/>
  <c r="C80"/>
  <c r="D80"/>
  <c r="E80"/>
  <c r="F80"/>
  <c r="H80"/>
  <c r="I80"/>
  <c r="B81"/>
  <c r="C81"/>
  <c r="D81"/>
  <c r="E81"/>
  <c r="F81"/>
  <c r="G81"/>
  <c r="I81"/>
  <c r="B73"/>
  <c r="C73"/>
  <c r="D73"/>
  <c r="E73"/>
  <c r="F73"/>
  <c r="H73"/>
  <c r="I73"/>
  <c r="B74"/>
  <c r="C74"/>
  <c r="D74"/>
  <c r="B64"/>
  <c r="C64"/>
  <c r="D64"/>
  <c r="G64"/>
  <c r="H64"/>
  <c r="I64"/>
  <c r="B65"/>
  <c r="C65"/>
  <c r="D65"/>
  <c r="E65"/>
  <c r="G65"/>
  <c r="H65"/>
  <c r="I65"/>
  <c r="B66"/>
  <c r="C66"/>
  <c r="D66"/>
  <c r="E66"/>
  <c r="F66"/>
  <c r="G66"/>
  <c r="I66"/>
  <c r="B67"/>
  <c r="C67"/>
  <c r="D67"/>
  <c r="B68"/>
  <c r="C68"/>
  <c r="D68"/>
  <c r="E68"/>
  <c r="G68"/>
  <c r="H68"/>
  <c r="I68"/>
  <c r="B69"/>
  <c r="C69"/>
  <c r="D69"/>
  <c r="B70"/>
  <c r="C70"/>
  <c r="D70"/>
  <c r="E70"/>
  <c r="F70"/>
  <c r="G70"/>
  <c r="I70"/>
  <c r="B71"/>
  <c r="C71"/>
  <c r="D71"/>
  <c r="E71"/>
  <c r="H71"/>
  <c r="B72"/>
  <c r="C72"/>
  <c r="D72"/>
  <c r="E72"/>
  <c r="B63"/>
  <c r="C63"/>
  <c r="D63"/>
  <c r="E63"/>
  <c r="F63"/>
  <c r="I63"/>
  <c r="E46"/>
  <c r="F46"/>
  <c r="H46"/>
  <c r="I46"/>
  <c r="E47"/>
  <c r="F47"/>
  <c r="H47"/>
  <c r="I47"/>
  <c r="F43"/>
  <c r="G43"/>
  <c r="H43"/>
  <c r="I43"/>
  <c r="E37"/>
  <c r="E40"/>
  <c r="F40"/>
  <c r="H40"/>
  <c r="I40"/>
  <c r="E41"/>
  <c r="F41"/>
  <c r="H41"/>
  <c r="I41"/>
  <c r="B56"/>
  <c r="C56"/>
  <c r="E56"/>
  <c r="F56"/>
  <c r="H56"/>
  <c r="I56"/>
  <c r="B57"/>
  <c r="C57"/>
  <c r="E57"/>
  <c r="F57"/>
  <c r="H57"/>
  <c r="B58"/>
  <c r="C58"/>
  <c r="E58"/>
  <c r="F58"/>
  <c r="B53"/>
  <c r="C53"/>
  <c r="D53"/>
  <c r="E53"/>
  <c r="F53"/>
  <c r="H53"/>
  <c r="I53"/>
  <c r="B54"/>
  <c r="C54"/>
  <c r="D54"/>
  <c r="E54"/>
  <c r="F54"/>
  <c r="H54"/>
  <c r="I54"/>
  <c r="B55"/>
  <c r="C55"/>
  <c r="D55"/>
  <c r="E55"/>
  <c r="F55"/>
  <c r="G55"/>
  <c r="H55"/>
  <c r="B29"/>
  <c r="C29"/>
  <c r="D29"/>
  <c r="B28"/>
  <c r="C28"/>
  <c r="D28"/>
  <c r="E28"/>
  <c r="F28"/>
  <c r="H28"/>
  <c r="I28"/>
  <c r="B26"/>
  <c r="C26"/>
  <c r="D26"/>
  <c r="E26"/>
  <c r="F26"/>
  <c r="H26"/>
  <c r="I26"/>
  <c r="B27"/>
  <c r="C27"/>
  <c r="D27"/>
  <c r="B23"/>
  <c r="C23"/>
  <c r="D23"/>
  <c r="F23"/>
  <c r="G23"/>
  <c r="H23"/>
  <c r="I23"/>
  <c r="B24"/>
  <c r="C24"/>
  <c r="D24"/>
  <c r="B25"/>
  <c r="C25"/>
  <c r="D25"/>
  <c r="I25"/>
  <c r="B6"/>
  <c r="C6"/>
  <c r="D6"/>
  <c r="E6"/>
  <c r="F6"/>
  <c r="H6"/>
  <c r="I6"/>
  <c r="B7"/>
  <c r="C7"/>
  <c r="D7"/>
  <c r="B8"/>
  <c r="C8"/>
  <c r="D8"/>
  <c r="E8"/>
  <c r="F8"/>
  <c r="H8"/>
  <c r="B9"/>
  <c r="C9"/>
  <c r="D9"/>
  <c r="B10"/>
  <c r="C10"/>
  <c r="D10"/>
  <c r="B11"/>
  <c r="C11"/>
  <c r="D11"/>
  <c r="F11"/>
  <c r="G11"/>
  <c r="H11"/>
  <c r="I11"/>
  <c r="B12"/>
  <c r="C12"/>
  <c r="D12"/>
  <c r="E12"/>
  <c r="F12"/>
  <c r="H12"/>
  <c r="I12"/>
  <c r="B13"/>
  <c r="C13"/>
  <c r="D13"/>
  <c r="E13"/>
  <c r="F13"/>
  <c r="H13"/>
  <c r="I13"/>
  <c r="B14"/>
  <c r="C14"/>
  <c r="D14"/>
  <c r="E14"/>
  <c r="F14"/>
  <c r="G14"/>
  <c r="I14"/>
  <c r="B15"/>
  <c r="C15"/>
  <c r="D15"/>
  <c r="F15"/>
  <c r="G15"/>
  <c r="H15"/>
  <c r="I15"/>
  <c r="B16"/>
  <c r="C16"/>
  <c r="D16"/>
  <c r="F16"/>
  <c r="G16"/>
  <c r="H16"/>
  <c r="I16"/>
  <c r="B17"/>
  <c r="C17"/>
  <c r="D17"/>
  <c r="B18"/>
  <c r="C18"/>
  <c r="D18"/>
  <c r="E18"/>
  <c r="G18"/>
  <c r="H18"/>
  <c r="I18"/>
  <c r="B19"/>
  <c r="C19"/>
  <c r="D19"/>
  <c r="H19"/>
  <c r="I19"/>
  <c r="B20"/>
  <c r="C20"/>
  <c r="D20"/>
  <c r="E20"/>
  <c r="G20"/>
  <c r="H20"/>
  <c r="I20"/>
  <c r="B21"/>
  <c r="C21"/>
  <c r="D21"/>
  <c r="E21"/>
  <c r="F21"/>
  <c r="H21"/>
  <c r="I21"/>
  <c r="B22"/>
  <c r="C22"/>
  <c r="D22"/>
  <c r="E22"/>
  <c r="F22"/>
  <c r="H22"/>
  <c r="I22"/>
  <c r="L1331" i="156"/>
  <c r="L1330"/>
  <c r="L1329"/>
  <c r="L1349"/>
  <c r="H1349"/>
  <c r="L1348"/>
  <c r="H1347"/>
  <c r="L1347" s="1"/>
  <c r="H1346"/>
  <c r="L1346" s="1"/>
  <c r="H1345"/>
  <c r="L1345" s="1"/>
  <c r="L1344"/>
  <c r="L1343"/>
  <c r="L1342"/>
  <c r="L1341"/>
  <c r="L1340"/>
  <c r="L1339"/>
  <c r="L1338"/>
  <c r="L1337"/>
  <c r="L1336"/>
  <c r="L1335"/>
  <c r="L1467"/>
  <c r="L1466"/>
  <c r="L1463"/>
  <c r="H1483"/>
  <c r="L1483" s="1"/>
  <c r="L1482"/>
  <c r="L1481"/>
  <c r="H1481"/>
  <c r="L1480"/>
  <c r="H1480"/>
  <c r="L1479"/>
  <c r="H1479"/>
  <c r="L1478"/>
  <c r="L1477"/>
  <c r="L1476"/>
  <c r="L1475"/>
  <c r="L1474"/>
  <c r="L1473"/>
  <c r="L1472"/>
  <c r="L1471"/>
  <c r="L1470"/>
  <c r="L1469"/>
  <c r="L1352"/>
  <c r="L1353"/>
  <c r="L1354"/>
  <c r="L1355"/>
  <c r="L1351"/>
  <c r="L1357"/>
  <c r="H1357"/>
  <c r="L1356"/>
  <c r="L1361"/>
  <c r="L1358"/>
  <c r="L1385"/>
  <c r="L1384"/>
  <c r="L1383"/>
  <c r="L1382"/>
  <c r="L1381"/>
  <c r="H1381"/>
  <c r="I1380"/>
  <c r="H1380"/>
  <c r="L1380" s="1"/>
  <c r="L1379"/>
  <c r="L1378"/>
  <c r="L1377"/>
  <c r="L1376"/>
  <c r="L1375"/>
  <c r="L1374"/>
  <c r="H1373"/>
  <c r="L1373" s="1"/>
  <c r="L1372"/>
  <c r="L1371"/>
  <c r="L1370"/>
  <c r="L1369"/>
  <c r="L1368"/>
  <c r="L1367"/>
  <c r="L1366"/>
  <c r="L1365"/>
  <c r="L1364"/>
  <c r="L1441"/>
  <c r="I1460"/>
  <c r="L1460" s="1"/>
  <c r="L1459" s="1"/>
  <c r="L1442" s="1"/>
  <c r="I1456"/>
  <c r="L1462"/>
  <c r="L1461"/>
  <c r="L1458"/>
  <c r="L1457"/>
  <c r="L1456"/>
  <c r="L1454"/>
  <c r="L1453"/>
  <c r="I1452"/>
  <c r="L1452" s="1"/>
  <c r="L1450"/>
  <c r="L1449"/>
  <c r="I1448"/>
  <c r="L1448" s="1"/>
  <c r="L1446"/>
  <c r="L1445"/>
  <c r="L1443" s="1"/>
  <c r="L1438" s="1"/>
  <c r="L1444"/>
  <c r="I1444"/>
  <c r="L1530"/>
  <c r="L1529"/>
  <c r="L1528"/>
  <c r="L1527"/>
  <c r="H1526"/>
  <c r="L1526" s="1"/>
  <c r="L1525"/>
  <c r="I1525"/>
  <c r="H1525"/>
  <c r="L1524"/>
  <c r="L1523"/>
  <c r="L1522"/>
  <c r="L1521"/>
  <c r="L1520"/>
  <c r="L1519"/>
  <c r="H1518"/>
  <c r="L1518" s="1"/>
  <c r="L1517"/>
  <c r="L1516"/>
  <c r="L1515"/>
  <c r="L1514"/>
  <c r="L1513"/>
  <c r="L1512"/>
  <c r="L1511"/>
  <c r="L1510"/>
  <c r="L1509"/>
  <c r="L1508"/>
  <c r="L1506" s="1"/>
  <c r="F21" i="173"/>
  <c r="C24"/>
  <c r="F21" i="172"/>
  <c r="E21"/>
  <c r="F19"/>
  <c r="F15"/>
  <c r="F10"/>
  <c r="F6"/>
  <c r="E15"/>
  <c r="E10"/>
  <c r="E19"/>
  <c r="E6"/>
  <c r="F17" i="173"/>
  <c r="F14"/>
  <c r="F11"/>
  <c r="C20"/>
  <c r="C15"/>
  <c r="C11"/>
  <c r="C34"/>
  <c r="F32"/>
  <c r="I129" i="163" l="1"/>
  <c r="G18" i="174" s="1"/>
  <c r="F129" i="163"/>
  <c r="D18" i="174" s="1"/>
  <c r="E78" i="163"/>
  <c r="C21" i="174" s="1"/>
  <c r="I78" i="163"/>
  <c r="G21" i="174" s="1"/>
  <c r="F52" i="163"/>
  <c r="D13" i="174" s="1"/>
  <c r="E52" i="163"/>
  <c r="C13" i="174" s="1"/>
  <c r="L1447" i="156"/>
  <c r="L1439" s="1"/>
  <c r="L1455"/>
  <c r="L1451"/>
  <c r="L1440" s="1"/>
  <c r="M1447"/>
  <c r="M1451"/>
  <c r="M1459"/>
  <c r="M1455"/>
  <c r="M1443"/>
  <c r="C41" i="173"/>
  <c r="C41" i="162"/>
  <c r="F36" i="172"/>
  <c r="E36"/>
  <c r="E29"/>
  <c r="F36" i="159"/>
  <c r="F29"/>
  <c r="F21"/>
  <c r="F13"/>
  <c r="F9"/>
  <c r="F6"/>
  <c r="E36"/>
  <c r="E29"/>
  <c r="E21"/>
  <c r="E13"/>
  <c r="E9"/>
  <c r="E6"/>
  <c r="L1436" i="156"/>
  <c r="L1435"/>
  <c r="L1434"/>
  <c r="L1433"/>
  <c r="H1432"/>
  <c r="L1432" s="1"/>
  <c r="L1431"/>
  <c r="I1431"/>
  <c r="L1430"/>
  <c r="L1429"/>
  <c r="L1428"/>
  <c r="L1427"/>
  <c r="L1426"/>
  <c r="L1425"/>
  <c r="L1424"/>
  <c r="L1423"/>
  <c r="L1422"/>
  <c r="L1421"/>
  <c r="L1420"/>
  <c r="L1419"/>
  <c r="L1418"/>
  <c r="L1417"/>
  <c r="L1416"/>
  <c r="L1415"/>
  <c r="L1414"/>
  <c r="L1413"/>
  <c r="L1412"/>
  <c r="L1411"/>
  <c r="L1410"/>
  <c r="L1404" s="1"/>
  <c r="L1407" s="1"/>
  <c r="L1306"/>
  <c r="L1305"/>
  <c r="L1310"/>
  <c r="L1308" s="1"/>
  <c r="H1303"/>
  <c r="L1303" s="1"/>
  <c r="L1297" s="1"/>
  <c r="H1302"/>
  <c r="L1302" s="1"/>
  <c r="L1296" s="1"/>
  <c r="L1301"/>
  <c r="L1295" s="1"/>
  <c r="H1301"/>
  <c r="H1300"/>
  <c r="L1300" s="1"/>
  <c r="L1294" s="1"/>
  <c r="H1299"/>
  <c r="L1299" s="1"/>
  <c r="L1293" s="1"/>
  <c r="I1285"/>
  <c r="H1285"/>
  <c r="H1266"/>
  <c r="L1266" s="1"/>
  <c r="L1265"/>
  <c r="H1264"/>
  <c r="L1264" s="1"/>
  <c r="H1263"/>
  <c r="L1263" s="1"/>
  <c r="H1262"/>
  <c r="L1262" s="1"/>
  <c r="L1261"/>
  <c r="L1260"/>
  <c r="L1259"/>
  <c r="L1258"/>
  <c r="L1257"/>
  <c r="L1256"/>
  <c r="L1255"/>
  <c r="L1254"/>
  <c r="L1253"/>
  <c r="L1252"/>
  <c r="L1245"/>
  <c r="N1245" s="1"/>
  <c r="L1244"/>
  <c r="N1244" s="1"/>
  <c r="L1243"/>
  <c r="N1243" s="1"/>
  <c r="L1242"/>
  <c r="N1242" s="1"/>
  <c r="F32" i="162"/>
  <c r="F25"/>
  <c r="F17"/>
  <c r="F14"/>
  <c r="F11"/>
  <c r="C34"/>
  <c r="C26"/>
  <c r="C18"/>
  <c r="C14"/>
  <c r="C11"/>
  <c r="L1437" i="156" l="1"/>
  <c r="L1285"/>
  <c r="L1281" s="1"/>
  <c r="L1309"/>
  <c r="L1307"/>
  <c r="F29" i="172"/>
  <c r="L1246" i="156"/>
  <c r="L1248" s="1"/>
  <c r="L1292"/>
  <c r="L1282"/>
  <c r="L1236"/>
  <c r="L1280" l="1"/>
  <c r="L1283"/>
  <c r="L1279" s="1"/>
  <c r="L1284"/>
  <c r="L1237"/>
  <c r="L1239"/>
  <c r="L251" l="1"/>
  <c r="O161" i="150" l="1"/>
  <c r="O396" i="156" l="1"/>
  <c r="O397"/>
  <c r="L281"/>
  <c r="L283"/>
  <c r="L284"/>
  <c r="C70" i="171"/>
  <c r="C69"/>
  <c r="C68"/>
  <c r="C67"/>
  <c r="C66"/>
  <c r="C65"/>
  <c r="C64"/>
  <c r="C63"/>
  <c r="C62"/>
  <c r="C61"/>
  <c r="C60"/>
  <c r="C59"/>
  <c r="C58"/>
  <c r="C57"/>
  <c r="C56"/>
  <c r="C55"/>
  <c r="C54"/>
  <c r="C53"/>
  <c r="C52"/>
  <c r="C51"/>
  <c r="C50"/>
  <c r="C49"/>
  <c r="C48"/>
  <c r="C47"/>
  <c r="C46"/>
  <c r="C45"/>
  <c r="C44"/>
  <c r="C43"/>
  <c r="C42"/>
  <c r="C41"/>
  <c r="C40"/>
  <c r="C39"/>
  <c r="C38"/>
  <c r="C37"/>
  <c r="C36"/>
  <c r="C33"/>
  <c r="C32"/>
  <c r="C31"/>
  <c r="C30"/>
  <c r="C29"/>
  <c r="C28"/>
  <c r="C27"/>
  <c r="C26"/>
  <c r="C25"/>
  <c r="C24"/>
  <c r="C23"/>
  <c r="C22"/>
  <c r="C21"/>
  <c r="C20"/>
  <c r="C19"/>
  <c r="C18"/>
  <c r="C17"/>
  <c r="C16"/>
  <c r="C15"/>
  <c r="C14"/>
  <c r="C13"/>
  <c r="C12"/>
  <c r="C11"/>
  <c r="C10"/>
  <c r="C9"/>
  <c r="C8"/>
  <c r="C7"/>
  <c r="C6"/>
  <c r="C5"/>
  <c r="L1160" i="156"/>
  <c r="J121" i="150" s="1"/>
  <c r="E166" i="163" s="1"/>
  <c r="L1161" i="156"/>
  <c r="K121" i="150" s="1"/>
  <c r="F166" i="163" s="1"/>
  <c r="L1162" i="156"/>
  <c r="J121" i="164" s="1"/>
  <c r="M121" s="1"/>
  <c r="O121" s="1"/>
  <c r="L1163" i="156"/>
  <c r="M121" i="150" s="1"/>
  <c r="H166" i="163" s="1"/>
  <c r="L1164" i="156"/>
  <c r="N121" i="150" s="1"/>
  <c r="I166" i="163" s="1"/>
  <c r="S160" i="166"/>
  <c r="M134"/>
  <c r="N134" s="1"/>
  <c r="O123"/>
  <c r="M121"/>
  <c r="O121" s="1"/>
  <c r="O120"/>
  <c r="N120"/>
  <c r="M120"/>
  <c r="M119"/>
  <c r="N119" s="1"/>
  <c r="M118"/>
  <c r="N118" s="1"/>
  <c r="M117"/>
  <c r="N117" s="1"/>
  <c r="M116"/>
  <c r="R116" s="1"/>
  <c r="M111"/>
  <c r="N111" s="1"/>
  <c r="M110"/>
  <c r="N110" s="1"/>
  <c r="M101"/>
  <c r="T101" s="1"/>
  <c r="M98"/>
  <c r="T98" s="1"/>
  <c r="M97"/>
  <c r="T97" s="1"/>
  <c r="M95"/>
  <c r="T95" s="1"/>
  <c r="M94"/>
  <c r="N94" s="1"/>
  <c r="M91"/>
  <c r="T91" s="1"/>
  <c r="M86"/>
  <c r="N86" s="1"/>
  <c r="M85"/>
  <c r="N85" s="1"/>
  <c r="M82"/>
  <c r="N82" s="1"/>
  <c r="M81"/>
  <c r="N81" s="1"/>
  <c r="M80"/>
  <c r="T80" s="1"/>
  <c r="M77"/>
  <c r="N77" s="1"/>
  <c r="M76"/>
  <c r="T76" s="1"/>
  <c r="M75"/>
  <c r="T75" s="1"/>
  <c r="M69"/>
  <c r="N69" s="1"/>
  <c r="M68"/>
  <c r="T68" s="1"/>
  <c r="M67"/>
  <c r="N67" s="1"/>
  <c r="M64"/>
  <c r="T64" s="1"/>
  <c r="M63"/>
  <c r="N63" s="1"/>
  <c r="M61"/>
  <c r="N61" s="1"/>
  <c r="M60"/>
  <c r="N60" s="1"/>
  <c r="M59"/>
  <c r="N59" s="1"/>
  <c r="M54"/>
  <c r="N54" s="1"/>
  <c r="M52"/>
  <c r="P52" s="1"/>
  <c r="M50"/>
  <c r="N50" s="1"/>
  <c r="M49"/>
  <c r="N49" s="1"/>
  <c r="M48"/>
  <c r="N48" s="1"/>
  <c r="M47"/>
  <c r="T47" s="1"/>
  <c r="M46"/>
  <c r="N46" s="1"/>
  <c r="M45"/>
  <c r="N45" s="1"/>
  <c r="M41"/>
  <c r="T41" s="1"/>
  <c r="M40"/>
  <c r="N40" s="1"/>
  <c r="M37"/>
  <c r="N37" s="1"/>
  <c r="M35"/>
  <c r="N35" s="1"/>
  <c r="M34"/>
  <c r="N34" s="1"/>
  <c r="L31"/>
  <c r="M31" s="1"/>
  <c r="R31" s="1"/>
  <c r="M28"/>
  <c r="N28" s="1"/>
  <c r="M26"/>
  <c r="R26" s="1"/>
  <c r="M24"/>
  <c r="N24" s="1"/>
  <c r="M23"/>
  <c r="N23" s="1"/>
  <c r="M22"/>
  <c r="T22" s="1"/>
  <c r="M21"/>
  <c r="T21" s="1"/>
  <c r="M20"/>
  <c r="T20" s="1"/>
  <c r="M19"/>
  <c r="N19" s="1"/>
  <c r="M18"/>
  <c r="N18" s="1"/>
  <c r="M17"/>
  <c r="O17" s="1"/>
  <c r="M15"/>
  <c r="Q15" s="1"/>
  <c r="M14"/>
  <c r="R14" s="1"/>
  <c r="M13"/>
  <c r="N13" s="1"/>
  <c r="M12"/>
  <c r="T12" s="1"/>
  <c r="M11"/>
  <c r="P11" s="1"/>
  <c r="M10"/>
  <c r="T10" s="1"/>
  <c r="K160"/>
  <c r="M5"/>
  <c r="T5" s="1"/>
  <c r="J160"/>
  <c r="S160" i="165"/>
  <c r="M134"/>
  <c r="N134" s="1"/>
  <c r="N123"/>
  <c r="M121"/>
  <c r="O121" s="1"/>
  <c r="O120"/>
  <c r="N120"/>
  <c r="M120"/>
  <c r="M118"/>
  <c r="N118" s="1"/>
  <c r="M116"/>
  <c r="R116" s="1"/>
  <c r="M110"/>
  <c r="N110" s="1"/>
  <c r="M101"/>
  <c r="T101" s="1"/>
  <c r="M94"/>
  <c r="N94" s="1"/>
  <c r="M91"/>
  <c r="T91" s="1"/>
  <c r="M86"/>
  <c r="N86" s="1"/>
  <c r="M85"/>
  <c r="N85" s="1"/>
  <c r="M81"/>
  <c r="N81" s="1"/>
  <c r="M80"/>
  <c r="T80" s="1"/>
  <c r="M77"/>
  <c r="N77" s="1"/>
  <c r="M75"/>
  <c r="T75" s="1"/>
  <c r="M69"/>
  <c r="N69" s="1"/>
  <c r="M67"/>
  <c r="N67" s="1"/>
  <c r="M64"/>
  <c r="T64" s="1"/>
  <c r="M63"/>
  <c r="N63" s="1"/>
  <c r="M60"/>
  <c r="N60" s="1"/>
  <c r="M55"/>
  <c r="N55" s="1"/>
  <c r="M52"/>
  <c r="P52" s="1"/>
  <c r="M49"/>
  <c r="N49" s="1"/>
  <c r="M48"/>
  <c r="N48" s="1"/>
  <c r="M47"/>
  <c r="T47" s="1"/>
  <c r="M46"/>
  <c r="N46" s="1"/>
  <c r="M45"/>
  <c r="N45" s="1"/>
  <c r="M41"/>
  <c r="T41" s="1"/>
  <c r="M40"/>
  <c r="N40" s="1"/>
  <c r="M38"/>
  <c r="N38" s="1"/>
  <c r="M37"/>
  <c r="N37" s="1"/>
  <c r="M35"/>
  <c r="N35" s="1"/>
  <c r="M34"/>
  <c r="N34" s="1"/>
  <c r="K31"/>
  <c r="M31" s="1"/>
  <c r="R31" s="1"/>
  <c r="M26"/>
  <c r="R26" s="1"/>
  <c r="M25"/>
  <c r="T25" s="1"/>
  <c r="M24"/>
  <c r="N24" s="1"/>
  <c r="M23"/>
  <c r="N23" s="1"/>
  <c r="M21"/>
  <c r="T21" s="1"/>
  <c r="M20"/>
  <c r="T20" s="1"/>
  <c r="M19"/>
  <c r="N19" s="1"/>
  <c r="M18"/>
  <c r="N18" s="1"/>
  <c r="M17"/>
  <c r="O17" s="1"/>
  <c r="M15"/>
  <c r="Q15" s="1"/>
  <c r="M14"/>
  <c r="R14" s="1"/>
  <c r="M12"/>
  <c r="T12" s="1"/>
  <c r="M11"/>
  <c r="P11" s="1"/>
  <c r="M10"/>
  <c r="T10" s="1"/>
  <c r="M7"/>
  <c r="T7" s="1"/>
  <c r="M5"/>
  <c r="T5" s="1"/>
  <c r="S160" i="164"/>
  <c r="N123"/>
  <c r="M118"/>
  <c r="N118" s="1"/>
  <c r="M117"/>
  <c r="N117" s="1"/>
  <c r="M116"/>
  <c r="R116" s="1"/>
  <c r="M111"/>
  <c r="N111" s="1"/>
  <c r="M110"/>
  <c r="N110" s="1"/>
  <c r="M101"/>
  <c r="T101" s="1"/>
  <c r="M98"/>
  <c r="T98" s="1"/>
  <c r="M97"/>
  <c r="T97" s="1"/>
  <c r="M95"/>
  <c r="T95" s="1"/>
  <c r="M86"/>
  <c r="N86" s="1"/>
  <c r="M82"/>
  <c r="N82" s="1"/>
  <c r="M80"/>
  <c r="T80" s="1"/>
  <c r="M77"/>
  <c r="N77" s="1"/>
  <c r="M68"/>
  <c r="T68" s="1"/>
  <c r="M67"/>
  <c r="N67" s="1"/>
  <c r="M63"/>
  <c r="N63" s="1"/>
  <c r="M61"/>
  <c r="N61" s="1"/>
  <c r="M59"/>
  <c r="N59" s="1"/>
  <c r="M54"/>
  <c r="N54" s="1"/>
  <c r="M52"/>
  <c r="P52" s="1"/>
  <c r="M50"/>
  <c r="N50" s="1"/>
  <c r="M49"/>
  <c r="N49" s="1"/>
  <c r="M48"/>
  <c r="N48" s="1"/>
  <c r="M40"/>
  <c r="N40" s="1"/>
  <c r="M26"/>
  <c r="R26" s="1"/>
  <c r="M25"/>
  <c r="T25" s="1"/>
  <c r="M19"/>
  <c r="N19" s="1"/>
  <c r="M17"/>
  <c r="O17" s="1"/>
  <c r="M15"/>
  <c r="Q15" s="1"/>
  <c r="M14"/>
  <c r="R14" s="1"/>
  <c r="M13"/>
  <c r="N13" s="1"/>
  <c r="M10"/>
  <c r="T10" s="1"/>
  <c r="K160"/>
  <c r="L160"/>
  <c r="K121" i="158" l="1"/>
  <c r="L121"/>
  <c r="M121" i="157"/>
  <c r="L121" i="150"/>
  <c r="G166" i="163" s="1"/>
  <c r="J166" s="1"/>
  <c r="L1159" i="156"/>
  <c r="O15" i="164"/>
  <c r="N15"/>
  <c r="R15"/>
  <c r="P15" i="166"/>
  <c r="T15"/>
  <c r="O15"/>
  <c r="P15" i="165"/>
  <c r="N15"/>
  <c r="T15"/>
  <c r="R15"/>
  <c r="O15"/>
  <c r="T15" i="164"/>
  <c r="N15" i="166"/>
  <c r="R15"/>
  <c r="L160" i="165"/>
  <c r="J160"/>
  <c r="P15" i="164"/>
  <c r="Q13" i="150" l="1"/>
  <c r="Q14"/>
  <c r="Q15"/>
  <c r="Q17"/>
  <c r="Q18"/>
  <c r="Q19"/>
  <c r="Q20"/>
  <c r="Q21"/>
  <c r="Q22"/>
  <c r="Q23"/>
  <c r="Q24"/>
  <c r="Q26"/>
  <c r="Q28"/>
  <c r="Q34"/>
  <c r="Q35"/>
  <c r="Q37"/>
  <c r="Q40"/>
  <c r="Q41"/>
  <c r="Q45"/>
  <c r="Q46"/>
  <c r="Q47"/>
  <c r="Q48"/>
  <c r="Q49"/>
  <c r="Q50"/>
  <c r="Q52"/>
  <c r="Q54"/>
  <c r="Q59"/>
  <c r="Q60"/>
  <c r="Q61"/>
  <c r="Q63"/>
  <c r="Q64"/>
  <c r="Q67"/>
  <c r="Q68"/>
  <c r="Q69"/>
  <c r="Q75"/>
  <c r="Q76"/>
  <c r="Q77"/>
  <c r="Q80"/>
  <c r="Q81"/>
  <c r="Q82"/>
  <c r="Q85"/>
  <c r="Q86"/>
  <c r="Q91"/>
  <c r="Q94"/>
  <c r="Q95"/>
  <c r="Q97"/>
  <c r="Q98"/>
  <c r="Q101"/>
  <c r="Q110"/>
  <c r="Q111"/>
  <c r="Q116"/>
  <c r="Q117"/>
  <c r="Q118"/>
  <c r="Q119"/>
  <c r="Q120"/>
  <c r="Q121"/>
  <c r="Q134"/>
  <c r="Q10"/>
  <c r="Q11"/>
  <c r="Q12"/>
  <c r="Q5"/>
  <c r="P160"/>
  <c r="P10" i="157"/>
  <c r="W10" s="1"/>
  <c r="P14"/>
  <c r="U14" s="1"/>
  <c r="P15"/>
  <c r="S15" s="1"/>
  <c r="P17"/>
  <c r="R17" s="1"/>
  <c r="P19"/>
  <c r="Q19" s="1"/>
  <c r="P26"/>
  <c r="U26" s="1"/>
  <c r="P40"/>
  <c r="Q40" s="1"/>
  <c r="P48"/>
  <c r="P49"/>
  <c r="Q49" s="1"/>
  <c r="P52"/>
  <c r="S52" s="1"/>
  <c r="P63"/>
  <c r="Q63" s="1"/>
  <c r="P67"/>
  <c r="Q67" s="1"/>
  <c r="P77"/>
  <c r="Q77" s="1"/>
  <c r="P80"/>
  <c r="W80" s="1"/>
  <c r="P86"/>
  <c r="Q86" s="1"/>
  <c r="P101"/>
  <c r="W101" s="1"/>
  <c r="P110"/>
  <c r="Q110" s="1"/>
  <c r="P116"/>
  <c r="U116" s="1"/>
  <c r="P118"/>
  <c r="Q118" s="1"/>
  <c r="P121"/>
  <c r="R121" s="1"/>
  <c r="O31"/>
  <c r="N31"/>
  <c r="U160" i="158"/>
  <c r="K123"/>
  <c r="J123"/>
  <c r="N31"/>
  <c r="M31"/>
  <c r="U15" i="157" l="1"/>
  <c r="Q15"/>
  <c r="Q48"/>
  <c r="T15"/>
  <c r="R15"/>
  <c r="W15"/>
  <c r="J123" i="150" l="1"/>
  <c r="E168" i="163" s="1"/>
  <c r="K123" i="150"/>
  <c r="F168" i="163" s="1"/>
  <c r="N31" i="150" l="1"/>
  <c r="M31"/>
  <c r="H37" i="163" s="1"/>
  <c r="L400" i="156"/>
  <c r="L401"/>
  <c r="L402"/>
  <c r="L399"/>
  <c r="K31" i="158" s="1"/>
  <c r="Q31" i="150" l="1"/>
  <c r="I37" i="163"/>
  <c r="L31" i="150"/>
  <c r="G37" i="163" s="1"/>
  <c r="J31" i="164"/>
  <c r="M31" s="1"/>
  <c r="R31" s="1"/>
  <c r="L398" i="156"/>
  <c r="M31" i="157"/>
  <c r="P31" s="1"/>
  <c r="U31" s="1"/>
  <c r="L31" i="158"/>
  <c r="O31" s="1"/>
  <c r="T31" s="1"/>
  <c r="K31" i="150"/>
  <c r="F37" i="163" s="1"/>
  <c r="J37" l="1"/>
  <c r="O31" i="150"/>
  <c r="L572" i="156"/>
  <c r="L571" s="1"/>
  <c r="K61" i="165" s="1"/>
  <c r="M61" s="1"/>
  <c r="N61" s="1"/>
  <c r="L569" i="156"/>
  <c r="L568" s="1"/>
  <c r="J60" i="164" s="1"/>
  <c r="M60" s="1"/>
  <c r="N60" s="1"/>
  <c r="L566" i="156"/>
  <c r="L565"/>
  <c r="L564" l="1"/>
  <c r="K59" i="165" s="1"/>
  <c r="M59" s="1"/>
  <c r="N59" s="1"/>
  <c r="L60" i="150"/>
  <c r="M60" i="157"/>
  <c r="P60" s="1"/>
  <c r="Q60" s="1"/>
  <c r="L60" i="158"/>
  <c r="O60" s="1"/>
  <c r="P60" s="1"/>
  <c r="M61" i="150"/>
  <c r="N61" i="157"/>
  <c r="P61" s="1"/>
  <c r="Q61" s="1"/>
  <c r="M61" i="158"/>
  <c r="O61" s="1"/>
  <c r="P61" s="1"/>
  <c r="N1535" i="156"/>
  <c r="L159" i="166"/>
  <c r="M159" s="1"/>
  <c r="P159" s="1"/>
  <c r="L1501" i="156"/>
  <c r="L158" i="166" s="1"/>
  <c r="M158" s="1"/>
  <c r="T158" s="1"/>
  <c r="L1500" i="156"/>
  <c r="K158" i="165" s="1"/>
  <c r="M158" s="1"/>
  <c r="T158" s="1"/>
  <c r="L1499" i="156"/>
  <c r="J158" i="164" s="1"/>
  <c r="M158" s="1"/>
  <c r="T158" s="1"/>
  <c r="L1498" i="156"/>
  <c r="L1497"/>
  <c r="L1495"/>
  <c r="L157" i="166" s="1"/>
  <c r="M157" s="1"/>
  <c r="N157" s="1"/>
  <c r="L1494" i="156"/>
  <c r="K157" i="165" s="1"/>
  <c r="M157" s="1"/>
  <c r="N157" s="1"/>
  <c r="L1493" i="156"/>
  <c r="J157" i="164" s="1"/>
  <c r="M157" s="1"/>
  <c r="N157" s="1"/>
  <c r="L1492" i="156"/>
  <c r="L1491"/>
  <c r="L1489"/>
  <c r="L156" i="166" s="1"/>
  <c r="M156" s="1"/>
  <c r="T156" s="1"/>
  <c r="L1488" i="156"/>
  <c r="K156" i="165" s="1"/>
  <c r="M156" s="1"/>
  <c r="T156" s="1"/>
  <c r="L1487" i="156"/>
  <c r="J156" i="164" s="1"/>
  <c r="M156" s="1"/>
  <c r="T156" s="1"/>
  <c r="L1486" i="156"/>
  <c r="L1485"/>
  <c r="L1468"/>
  <c r="L155" i="166" s="1"/>
  <c r="M155" s="1"/>
  <c r="N155" s="1"/>
  <c r="K155" i="165"/>
  <c r="M155" s="1"/>
  <c r="N155" s="1"/>
  <c r="J155" i="164"/>
  <c r="M155" s="1"/>
  <c r="N155" s="1"/>
  <c r="L1465" i="156"/>
  <c r="L1464"/>
  <c r="L154" i="166"/>
  <c r="M154" s="1"/>
  <c r="N154" s="1"/>
  <c r="K154" i="165"/>
  <c r="M154" s="1"/>
  <c r="N154" s="1"/>
  <c r="J154" i="164"/>
  <c r="M154" s="1"/>
  <c r="N154" s="1"/>
  <c r="L1409" i="156"/>
  <c r="L153" i="166" s="1"/>
  <c r="M153" s="1"/>
  <c r="P153" s="1"/>
  <c r="L1408" i="156"/>
  <c r="K153" i="165" s="1"/>
  <c r="M153" s="1"/>
  <c r="P153" s="1"/>
  <c r="L1406" i="156"/>
  <c r="L1405"/>
  <c r="L1403"/>
  <c r="L152" i="166" s="1"/>
  <c r="M152" s="1"/>
  <c r="T152" s="1"/>
  <c r="L1402" i="156"/>
  <c r="K152" i="165" s="1"/>
  <c r="M152" s="1"/>
  <c r="T152" s="1"/>
  <c r="L1401" i="156"/>
  <c r="J152" i="164" s="1"/>
  <c r="M152" s="1"/>
  <c r="T152" s="1"/>
  <c r="L1400" i="156"/>
  <c r="L1399"/>
  <c r="L1397"/>
  <c r="L151" i="166" s="1"/>
  <c r="M151" s="1"/>
  <c r="L1396" i="156"/>
  <c r="K151" i="165" s="1"/>
  <c r="M151" s="1"/>
  <c r="L1395" i="156"/>
  <c r="J151" i="164" s="1"/>
  <c r="M151" s="1"/>
  <c r="L1394" i="156"/>
  <c r="L1393"/>
  <c r="L1391"/>
  <c r="L150" i="166" s="1"/>
  <c r="M150" s="1"/>
  <c r="P150" s="1"/>
  <c r="L1390" i="156"/>
  <c r="K150" i="165" s="1"/>
  <c r="M150" s="1"/>
  <c r="P150" s="1"/>
  <c r="L1389" i="156"/>
  <c r="J150" i="164" s="1"/>
  <c r="M150" s="1"/>
  <c r="P150" s="1"/>
  <c r="L1388" i="156"/>
  <c r="L1387"/>
  <c r="L149" i="166"/>
  <c r="M149" s="1"/>
  <c r="N149" s="1"/>
  <c r="K149" i="165"/>
  <c r="M149" s="1"/>
  <c r="N149" s="1"/>
  <c r="J149" i="164"/>
  <c r="M149" s="1"/>
  <c r="N149" s="1"/>
  <c r="K148" i="165"/>
  <c r="M148" s="1"/>
  <c r="R148" s="1"/>
  <c r="J148" i="164"/>
  <c r="M148" s="1"/>
  <c r="R148" s="1"/>
  <c r="L147" i="166"/>
  <c r="M147" s="1"/>
  <c r="T147" s="1"/>
  <c r="K147" i="165"/>
  <c r="M147" s="1"/>
  <c r="T147" s="1"/>
  <c r="J147" i="164"/>
  <c r="M147" s="1"/>
  <c r="T147" s="1"/>
  <c r="L1328" i="156"/>
  <c r="L146" i="166" s="1"/>
  <c r="M146" s="1"/>
  <c r="T146" s="1"/>
  <c r="L1327" i="156"/>
  <c r="K146" i="165" s="1"/>
  <c r="M146" s="1"/>
  <c r="T146" s="1"/>
  <c r="L1326" i="156"/>
  <c r="J146" i="164" s="1"/>
  <c r="M146" s="1"/>
  <c r="T146" s="1"/>
  <c r="L1325" i="156"/>
  <c r="L1324"/>
  <c r="L1322"/>
  <c r="L145" i="166" s="1"/>
  <c r="M145" s="1"/>
  <c r="N145" s="1"/>
  <c r="L1321" i="156"/>
  <c r="K145" i="165" s="1"/>
  <c r="M145" s="1"/>
  <c r="N145" s="1"/>
  <c r="L1320" i="156"/>
  <c r="J145" i="164" s="1"/>
  <c r="M145" s="1"/>
  <c r="N145" s="1"/>
  <c r="L1319" i="156"/>
  <c r="L1318"/>
  <c r="J145" i="158" s="1"/>
  <c r="L1316" i="156"/>
  <c r="L144" i="166" s="1"/>
  <c r="M144" s="1"/>
  <c r="N144" s="1"/>
  <c r="L1315" i="156"/>
  <c r="K144" i="165" s="1"/>
  <c r="M144" s="1"/>
  <c r="N144" s="1"/>
  <c r="L1314" i="156"/>
  <c r="J144" i="164" s="1"/>
  <c r="M144" s="1"/>
  <c r="N144" s="1"/>
  <c r="L1313" i="156"/>
  <c r="L1312"/>
  <c r="L143" i="166"/>
  <c r="M143" s="1"/>
  <c r="R143" s="1"/>
  <c r="K143" i="165"/>
  <c r="M143" s="1"/>
  <c r="R143" s="1"/>
  <c r="J143" i="164"/>
  <c r="M143" s="1"/>
  <c r="R143" s="1"/>
  <c r="J143" i="158"/>
  <c r="L142" i="166"/>
  <c r="M142" s="1"/>
  <c r="R142" s="1"/>
  <c r="K142" i="165"/>
  <c r="M142" s="1"/>
  <c r="R142" s="1"/>
  <c r="J142" i="164"/>
  <c r="M142" s="1"/>
  <c r="R142" s="1"/>
  <c r="L1291" i="156"/>
  <c r="L141" i="166" s="1"/>
  <c r="M141" s="1"/>
  <c r="L1290" i="156"/>
  <c r="K141" i="165" s="1"/>
  <c r="M141" s="1"/>
  <c r="L1289" i="156"/>
  <c r="J141" i="164" s="1"/>
  <c r="M141" s="1"/>
  <c r="L1288" i="156"/>
  <c r="L1287"/>
  <c r="J141" i="158" s="1"/>
  <c r="L140" i="166"/>
  <c r="M140" s="1"/>
  <c r="N140" s="1"/>
  <c r="K140" i="165"/>
  <c r="M140" s="1"/>
  <c r="N140" s="1"/>
  <c r="J140" i="164"/>
  <c r="M140" s="1"/>
  <c r="N140" s="1"/>
  <c r="L1278" i="156"/>
  <c r="L139" i="166" s="1"/>
  <c r="M139" s="1"/>
  <c r="L1277" i="156"/>
  <c r="K139" i="165" s="1"/>
  <c r="M139" s="1"/>
  <c r="L1276" i="156"/>
  <c r="J139" i="164" s="1"/>
  <c r="M139" s="1"/>
  <c r="L1275" i="156"/>
  <c r="K139" i="158" s="1"/>
  <c r="L1274" i="156"/>
  <c r="J139" i="158" s="1"/>
  <c r="L1272" i="156"/>
  <c r="L138" i="166" s="1"/>
  <c r="M138" s="1"/>
  <c r="R138" s="1"/>
  <c r="L1271" i="156"/>
  <c r="K138" i="165" s="1"/>
  <c r="M138" s="1"/>
  <c r="R138" s="1"/>
  <c r="L1270" i="156"/>
  <c r="J138" i="164" s="1"/>
  <c r="M138" s="1"/>
  <c r="R138" s="1"/>
  <c r="L1269" i="156"/>
  <c r="L1268"/>
  <c r="L1251"/>
  <c r="L137" i="166" s="1"/>
  <c r="M137" s="1"/>
  <c r="T137" s="1"/>
  <c r="L1250" i="156"/>
  <c r="K137" i="165" s="1"/>
  <c r="M137" s="1"/>
  <c r="T137" s="1"/>
  <c r="L1249" i="156"/>
  <c r="J137" i="164" s="1"/>
  <c r="M137" s="1"/>
  <c r="T137" s="1"/>
  <c r="L1247" i="156"/>
  <c r="J137" i="158" s="1"/>
  <c r="L136" i="166"/>
  <c r="M136" s="1"/>
  <c r="N136" s="1"/>
  <c r="K136" i="165"/>
  <c r="M136" s="1"/>
  <c r="N136" s="1"/>
  <c r="L1235" i="156"/>
  <c r="L1234" s="1"/>
  <c r="L1233"/>
  <c r="L1232"/>
  <c r="L1231"/>
  <c r="H1230"/>
  <c r="L1230" s="1"/>
  <c r="L1229"/>
  <c r="L1228"/>
  <c r="L1227"/>
  <c r="L1226"/>
  <c r="L1225"/>
  <c r="L1224"/>
  <c r="L1223"/>
  <c r="L1222"/>
  <c r="L1221"/>
  <c r="L1220"/>
  <c r="L1219"/>
  <c r="L1217"/>
  <c r="L133" i="166" s="1"/>
  <c r="M133" s="1"/>
  <c r="N133" s="1"/>
  <c r="L1216" i="156"/>
  <c r="K133" i="165" s="1"/>
  <c r="M133" s="1"/>
  <c r="N133" s="1"/>
  <c r="L1215" i="156"/>
  <c r="J133" i="164" s="1"/>
  <c r="M133" s="1"/>
  <c r="N133" s="1"/>
  <c r="L1214" i="156"/>
  <c r="L1213"/>
  <c r="L148" i="166" s="1"/>
  <c r="M148" s="1"/>
  <c r="R148" s="1"/>
  <c r="L1211" i="156"/>
  <c r="L1210" s="1"/>
  <c r="L1209"/>
  <c r="L1208" s="1"/>
  <c r="H1207"/>
  <c r="L1207" s="1"/>
  <c r="I1206"/>
  <c r="L1206" s="1"/>
  <c r="L1204"/>
  <c r="L129" i="166" s="1"/>
  <c r="M129" s="1"/>
  <c r="N129" s="1"/>
  <c r="L1203" i="156"/>
  <c r="K129" i="165" s="1"/>
  <c r="M129" s="1"/>
  <c r="N129" s="1"/>
  <c r="L1202" i="156"/>
  <c r="J129" i="164" s="1"/>
  <c r="M129" s="1"/>
  <c r="N129" s="1"/>
  <c r="L1201" i="156"/>
  <c r="L1200"/>
  <c r="J129" i="158" s="1"/>
  <c r="L1198" i="156"/>
  <c r="L1197"/>
  <c r="L1196"/>
  <c r="L1195"/>
  <c r="L1194"/>
  <c r="L1192"/>
  <c r="L1191"/>
  <c r="L1190"/>
  <c r="L1189"/>
  <c r="L1187"/>
  <c r="L126" i="166" s="1"/>
  <c r="M126" s="1"/>
  <c r="N126" s="1"/>
  <c r="L1186" i="156"/>
  <c r="K126" i="165" s="1"/>
  <c r="M126" s="1"/>
  <c r="N126" s="1"/>
  <c r="L1185" i="156"/>
  <c r="J126" i="164" s="1"/>
  <c r="M126" s="1"/>
  <c r="N126" s="1"/>
  <c r="L1184" i="156"/>
  <c r="L1183"/>
  <c r="L1181"/>
  <c r="L1180"/>
  <c r="I1178"/>
  <c r="L1178" s="1"/>
  <c r="L1177" s="1"/>
  <c r="L1176"/>
  <c r="L123" i="166" s="1"/>
  <c r="L1175" i="156"/>
  <c r="K123" i="165" s="1"/>
  <c r="L1174" i="156"/>
  <c r="J123" i="164" s="1"/>
  <c r="L1170" i="156"/>
  <c r="L122" i="166" s="1"/>
  <c r="M122" s="1"/>
  <c r="N122" s="1"/>
  <c r="L1169" i="156"/>
  <c r="K122" i="165" s="1"/>
  <c r="M122" s="1"/>
  <c r="N122" s="1"/>
  <c r="L1168" i="156"/>
  <c r="J122" i="164" s="1"/>
  <c r="M122" s="1"/>
  <c r="N122" s="1"/>
  <c r="L1167" i="156"/>
  <c r="L1166"/>
  <c r="L1158"/>
  <c r="L1157"/>
  <c r="L1156"/>
  <c r="L1155"/>
  <c r="L1153"/>
  <c r="L1152"/>
  <c r="L1151"/>
  <c r="L1150"/>
  <c r="L1149"/>
  <c r="L1148"/>
  <c r="L1147"/>
  <c r="L1146"/>
  <c r="L1145"/>
  <c r="L1144"/>
  <c r="L1143"/>
  <c r="L1142"/>
  <c r="L1141"/>
  <c r="L1140"/>
  <c r="L1139"/>
  <c r="L1137"/>
  <c r="L1136"/>
  <c r="L1133"/>
  <c r="L1132"/>
  <c r="L1131"/>
  <c r="L1130"/>
  <c r="L1129"/>
  <c r="L1128"/>
  <c r="L1126"/>
  <c r="L1125"/>
  <c r="L1124"/>
  <c r="L1123"/>
  <c r="L1122"/>
  <c r="L1121"/>
  <c r="L1120"/>
  <c r="L1119"/>
  <c r="L1118"/>
  <c r="L1117"/>
  <c r="L1116"/>
  <c r="L1115"/>
  <c r="L1114"/>
  <c r="H1113"/>
  <c r="L1113" s="1"/>
  <c r="L1112"/>
  <c r="H1111"/>
  <c r="L1111" s="1"/>
  <c r="L1109"/>
  <c r="L1108"/>
  <c r="L1107"/>
  <c r="L1106"/>
  <c r="L1105"/>
  <c r="L1104"/>
  <c r="L1103"/>
  <c r="L1102"/>
  <c r="L1101"/>
  <c r="L1100"/>
  <c r="L1099"/>
  <c r="L1098"/>
  <c r="L1096"/>
  <c r="L1095"/>
  <c r="L1094"/>
  <c r="L1093"/>
  <c r="L1092"/>
  <c r="L1091"/>
  <c r="L1090"/>
  <c r="L1089"/>
  <c r="L1087"/>
  <c r="L1086"/>
  <c r="L1085"/>
  <c r="L1084"/>
  <c r="L1083"/>
  <c r="L1082"/>
  <c r="L1081"/>
  <c r="L1080"/>
  <c r="L1079"/>
  <c r="L1078"/>
  <c r="L1077"/>
  <c r="L1076"/>
  <c r="L1074"/>
  <c r="L1073"/>
  <c r="L1072"/>
  <c r="L1071"/>
  <c r="L1068"/>
  <c r="L1067" s="1"/>
  <c r="L1066"/>
  <c r="L1065" s="1"/>
  <c r="L1064"/>
  <c r="L1063" s="1"/>
  <c r="L1062"/>
  <c r="L1061" s="1"/>
  <c r="L1060"/>
  <c r="L1059"/>
  <c r="L1058"/>
  <c r="L1057"/>
  <c r="L1056"/>
  <c r="L1055"/>
  <c r="L1054"/>
  <c r="L1053"/>
  <c r="L1052"/>
  <c r="L1051"/>
  <c r="L1050"/>
  <c r="L1049"/>
  <c r="L1048"/>
  <c r="L1047"/>
  <c r="L1046"/>
  <c r="L1044"/>
  <c r="L1043"/>
  <c r="L1042"/>
  <c r="L1041"/>
  <c r="L1040"/>
  <c r="L1039"/>
  <c r="L1038"/>
  <c r="L1037"/>
  <c r="L1036"/>
  <c r="L1035"/>
  <c r="L1034"/>
  <c r="L1033"/>
  <c r="L1032"/>
  <c r="L1031"/>
  <c r="L1030"/>
  <c r="L1028"/>
  <c r="L1027"/>
  <c r="L1025"/>
  <c r="L108" i="166" s="1"/>
  <c r="M108" s="1"/>
  <c r="R108" s="1"/>
  <c r="L1024" i="156"/>
  <c r="K108" i="165" s="1"/>
  <c r="M108" s="1"/>
  <c r="R108" s="1"/>
  <c r="L1023" i="156"/>
  <c r="J108" i="164" s="1"/>
  <c r="M108" s="1"/>
  <c r="R108" s="1"/>
  <c r="L1022" i="156"/>
  <c r="L1021"/>
  <c r="L1018"/>
  <c r="L1017"/>
  <c r="L1015"/>
  <c r="L1014"/>
  <c r="L1012"/>
  <c r="L1011" s="1"/>
  <c r="L1010"/>
  <c r="L104" i="166" s="1"/>
  <c r="M104" s="1"/>
  <c r="R104" s="1"/>
  <c r="L1009" i="156"/>
  <c r="K104" i="165" s="1"/>
  <c r="M104" s="1"/>
  <c r="R104" s="1"/>
  <c r="L1008" i="156"/>
  <c r="J104" i="164" s="1"/>
  <c r="M104" s="1"/>
  <c r="R104" s="1"/>
  <c r="L1007" i="156"/>
  <c r="L1006"/>
  <c r="J104" i="158" s="1"/>
  <c r="L1004" i="156"/>
  <c r="L1003"/>
  <c r="L1002"/>
  <c r="L1001"/>
  <c r="L999"/>
  <c r="L998"/>
  <c r="L997"/>
  <c r="L995"/>
  <c r="L994"/>
  <c r="L993"/>
  <c r="L992"/>
  <c r="L991"/>
  <c r="L990"/>
  <c r="L989"/>
  <c r="L988"/>
  <c r="L986"/>
  <c r="L985"/>
  <c r="L984"/>
  <c r="L983"/>
  <c r="L982"/>
  <c r="H981"/>
  <c r="L981" s="1"/>
  <c r="L980"/>
  <c r="L979"/>
  <c r="L978"/>
  <c r="L977"/>
  <c r="L976"/>
  <c r="L975"/>
  <c r="L973"/>
  <c r="L972"/>
  <c r="L971"/>
  <c r="L970"/>
  <c r="L967"/>
  <c r="L966" s="1"/>
  <c r="L965"/>
  <c r="L99" i="166" s="1"/>
  <c r="M99" s="1"/>
  <c r="R99" s="1"/>
  <c r="L964" i="156"/>
  <c r="K99" i="165" s="1"/>
  <c r="M99" s="1"/>
  <c r="R99" s="1"/>
  <c r="L963" i="156"/>
  <c r="J99" i="164" s="1"/>
  <c r="M99" s="1"/>
  <c r="R99" s="1"/>
  <c r="L962" i="156"/>
  <c r="L961"/>
  <c r="J99" i="158" s="1"/>
  <c r="L959" i="156"/>
  <c r="L958"/>
  <c r="L957"/>
  <c r="L956"/>
  <c r="L955"/>
  <c r="L954"/>
  <c r="L953"/>
  <c r="L952"/>
  <c r="L951"/>
  <c r="L950"/>
  <c r="L949"/>
  <c r="L948"/>
  <c r="L947"/>
  <c r="L946"/>
  <c r="L945"/>
  <c r="L943"/>
  <c r="L942"/>
  <c r="L941"/>
  <c r="L940"/>
  <c r="L939"/>
  <c r="L938"/>
  <c r="L937"/>
  <c r="L936"/>
  <c r="L935"/>
  <c r="L934"/>
  <c r="L933"/>
  <c r="L932"/>
  <c r="L931"/>
  <c r="L930"/>
  <c r="L929"/>
  <c r="L927"/>
  <c r="L926"/>
  <c r="L924"/>
  <c r="L923"/>
  <c r="L922"/>
  <c r="L921"/>
  <c r="L920"/>
  <c r="L919"/>
  <c r="L918"/>
  <c r="L917"/>
  <c r="L916"/>
  <c r="L915"/>
  <c r="L914"/>
  <c r="L913"/>
  <c r="L912"/>
  <c r="L911"/>
  <c r="L910"/>
  <c r="L909"/>
  <c r="L908"/>
  <c r="L906"/>
  <c r="L905"/>
  <c r="L904"/>
  <c r="L903"/>
  <c r="L902"/>
  <c r="L901"/>
  <c r="L900"/>
  <c r="L899"/>
  <c r="L898"/>
  <c r="L897"/>
  <c r="L896"/>
  <c r="L895"/>
  <c r="L894"/>
  <c r="L893"/>
  <c r="L892"/>
  <c r="L891"/>
  <c r="L890"/>
  <c r="L888"/>
  <c r="L887"/>
  <c r="L885"/>
  <c r="L884"/>
  <c r="L883"/>
  <c r="L882"/>
  <c r="H881"/>
  <c r="L881" s="1"/>
  <c r="L880"/>
  <c r="L879"/>
  <c r="L878"/>
  <c r="L877"/>
  <c r="L876"/>
  <c r="L875"/>
  <c r="L873"/>
  <c r="L872"/>
  <c r="L871"/>
  <c r="L870"/>
  <c r="L869"/>
  <c r="L868"/>
  <c r="L867"/>
  <c r="L866"/>
  <c r="L865"/>
  <c r="L864"/>
  <c r="L863"/>
  <c r="L862"/>
  <c r="L861"/>
  <c r="L860"/>
  <c r="L859"/>
  <c r="L857"/>
  <c r="L90" i="166" s="1"/>
  <c r="M90" s="1"/>
  <c r="N90" s="1"/>
  <c r="L856" i="156"/>
  <c r="K90" i="165" s="1"/>
  <c r="M90" s="1"/>
  <c r="N90" s="1"/>
  <c r="L855" i="156"/>
  <c r="J90" i="164" s="1"/>
  <c r="M90" s="1"/>
  <c r="N90" s="1"/>
  <c r="L854" i="156"/>
  <c r="L853"/>
  <c r="L851"/>
  <c r="L89" i="166" s="1"/>
  <c r="M89" s="1"/>
  <c r="Q89" s="1"/>
  <c r="L850" i="156"/>
  <c r="K89" i="165" s="1"/>
  <c r="M89" s="1"/>
  <c r="Q89" s="1"/>
  <c r="L849" i="156"/>
  <c r="J89" i="164" s="1"/>
  <c r="M89" s="1"/>
  <c r="Q89" s="1"/>
  <c r="L848" i="156"/>
  <c r="L847"/>
  <c r="J89" i="158" s="1"/>
  <c r="L845" i="156"/>
  <c r="L88" i="166" s="1"/>
  <c r="M88" s="1"/>
  <c r="Q88" s="1"/>
  <c r="L844" i="156"/>
  <c r="K88" i="165" s="1"/>
  <c r="M88" s="1"/>
  <c r="Q88" s="1"/>
  <c r="L843" i="156"/>
  <c r="J88" i="164" s="1"/>
  <c r="M88" s="1"/>
  <c r="Q88" s="1"/>
  <c r="L842" i="156"/>
  <c r="L841"/>
  <c r="L839"/>
  <c r="L87" i="166" s="1"/>
  <c r="M87" s="1"/>
  <c r="Q87" s="1"/>
  <c r="L838" i="156"/>
  <c r="K87" i="165" s="1"/>
  <c r="M87" s="1"/>
  <c r="Q87" s="1"/>
  <c r="L837" i="156"/>
  <c r="J87" i="164" s="1"/>
  <c r="M87" s="1"/>
  <c r="Q87" s="1"/>
  <c r="L836" i="156"/>
  <c r="L835"/>
  <c r="J87" i="158" s="1"/>
  <c r="L833" i="156"/>
  <c r="L832"/>
  <c r="L831"/>
  <c r="L830"/>
  <c r="L829"/>
  <c r="L828"/>
  <c r="L827"/>
  <c r="L826"/>
  <c r="L825"/>
  <c r="L824"/>
  <c r="L823"/>
  <c r="L822"/>
  <c r="L821"/>
  <c r="L820"/>
  <c r="L819"/>
  <c r="L817"/>
  <c r="L816"/>
  <c r="L815"/>
  <c r="L814"/>
  <c r="L813"/>
  <c r="L812"/>
  <c r="L810"/>
  <c r="L809"/>
  <c r="L808"/>
  <c r="L807"/>
  <c r="L806"/>
  <c r="L805"/>
  <c r="L804"/>
  <c r="L803"/>
  <c r="L802"/>
  <c r="H801"/>
  <c r="L801" s="1"/>
  <c r="L800"/>
  <c r="L799"/>
  <c r="L798"/>
  <c r="L797"/>
  <c r="L796"/>
  <c r="L794"/>
  <c r="L793" s="1"/>
  <c r="J85" i="164" s="1"/>
  <c r="M85" s="1"/>
  <c r="N85" s="1"/>
  <c r="L792" i="156"/>
  <c r="L791" s="1"/>
  <c r="L790"/>
  <c r="L789"/>
  <c r="L788"/>
  <c r="H787"/>
  <c r="L787" s="1"/>
  <c r="L786"/>
  <c r="L785"/>
  <c r="L784"/>
  <c r="L783"/>
  <c r="L782"/>
  <c r="L781"/>
  <c r="L780"/>
  <c r="L779"/>
  <c r="L778"/>
  <c r="L776"/>
  <c r="L775"/>
  <c r="L774"/>
  <c r="L773"/>
  <c r="L772"/>
  <c r="L771"/>
  <c r="L770"/>
  <c r="L769"/>
  <c r="L768"/>
  <c r="L767"/>
  <c r="L766"/>
  <c r="L765"/>
  <c r="L764"/>
  <c r="L763"/>
  <c r="L762"/>
  <c r="L760"/>
  <c r="L759"/>
  <c r="L758"/>
  <c r="L757"/>
  <c r="L756"/>
  <c r="L755"/>
  <c r="L754"/>
  <c r="L753"/>
  <c r="L752"/>
  <c r="L751"/>
  <c r="L750"/>
  <c r="L749"/>
  <c r="L748"/>
  <c r="L747"/>
  <c r="L746"/>
  <c r="L744"/>
  <c r="L743"/>
  <c r="L742"/>
  <c r="H741"/>
  <c r="L741" s="1"/>
  <c r="L740"/>
  <c r="L739"/>
  <c r="L738"/>
  <c r="L737"/>
  <c r="L736"/>
  <c r="L735"/>
  <c r="L734"/>
  <c r="L733"/>
  <c r="L732"/>
  <c r="L731"/>
  <c r="L730"/>
  <c r="L728"/>
  <c r="L727" s="1"/>
  <c r="I726"/>
  <c r="L726" s="1"/>
  <c r="L724" s="1"/>
  <c r="L723"/>
  <c r="L722"/>
  <c r="L721"/>
  <c r="L720"/>
  <c r="L719"/>
  <c r="L718"/>
  <c r="L717"/>
  <c r="L716"/>
  <c r="L715"/>
  <c r="L714"/>
  <c r="L713"/>
  <c r="L712"/>
  <c r="L711"/>
  <c r="L710"/>
  <c r="L709"/>
  <c r="L707"/>
  <c r="L706"/>
  <c r="L705"/>
  <c r="L704"/>
  <c r="L703"/>
  <c r="L702"/>
  <c r="L701"/>
  <c r="L700"/>
  <c r="L699"/>
  <c r="L698"/>
  <c r="L697"/>
  <c r="L696"/>
  <c r="L695"/>
  <c r="L694"/>
  <c r="L693"/>
  <c r="L691"/>
  <c r="L690"/>
  <c r="L689"/>
  <c r="L688"/>
  <c r="L687"/>
  <c r="L686"/>
  <c r="L685"/>
  <c r="L684"/>
  <c r="L683"/>
  <c r="L682"/>
  <c r="L681"/>
  <c r="L680"/>
  <c r="L679"/>
  <c r="L678"/>
  <c r="L677"/>
  <c r="H675"/>
  <c r="L675" s="1"/>
  <c r="L674"/>
  <c r="L672"/>
  <c r="L671" s="1"/>
  <c r="L670"/>
  <c r="L669"/>
  <c r="L667"/>
  <c r="L666" s="1"/>
  <c r="L665"/>
  <c r="L70" i="166" s="1"/>
  <c r="M70" s="1"/>
  <c r="N70" s="1"/>
  <c r="L664" i="156"/>
  <c r="K70" i="165" s="1"/>
  <c r="M70" s="1"/>
  <c r="N70" s="1"/>
  <c r="L663" i="156"/>
  <c r="J70" i="164" s="1"/>
  <c r="M70" s="1"/>
  <c r="N70" s="1"/>
  <c r="L662" i="156"/>
  <c r="L661"/>
  <c r="J70" i="158" s="1"/>
  <c r="L659" i="156"/>
  <c r="L658" s="1"/>
  <c r="J69" i="164" s="1"/>
  <c r="M69" s="1"/>
  <c r="N69" s="1"/>
  <c r="L657" i="156"/>
  <c r="L656"/>
  <c r="L655"/>
  <c r="L654"/>
  <c r="L653"/>
  <c r="L652"/>
  <c r="L651"/>
  <c r="L650"/>
  <c r="L649"/>
  <c r="L648"/>
  <c r="L647"/>
  <c r="L646"/>
  <c r="L645"/>
  <c r="L644"/>
  <c r="L643"/>
  <c r="L641"/>
  <c r="L640"/>
  <c r="L639"/>
  <c r="L638"/>
  <c r="L637"/>
  <c r="L636"/>
  <c r="L635"/>
  <c r="L634"/>
  <c r="L633"/>
  <c r="L632"/>
  <c r="L631"/>
  <c r="L630"/>
  <c r="L629"/>
  <c r="L628"/>
  <c r="L627"/>
  <c r="L625"/>
  <c r="L624"/>
  <c r="L622"/>
  <c r="L621"/>
  <c r="L619"/>
  <c r="L618"/>
  <c r="L616"/>
  <c r="L615"/>
  <c r="L613"/>
  <c r="L612"/>
  <c r="L610"/>
  <c r="L608"/>
  <c r="L607"/>
  <c r="L606"/>
  <c r="L605"/>
  <c r="L604"/>
  <c r="L603"/>
  <c r="L602"/>
  <c r="L601"/>
  <c r="L600"/>
  <c r="L599"/>
  <c r="L598"/>
  <c r="L597"/>
  <c r="L596"/>
  <c r="L595"/>
  <c r="L594"/>
  <c r="L592"/>
  <c r="L591"/>
  <c r="L590"/>
  <c r="H589"/>
  <c r="L589" s="1"/>
  <c r="L588"/>
  <c r="L587"/>
  <c r="L586"/>
  <c r="L585"/>
  <c r="L584"/>
  <c r="L583"/>
  <c r="L582"/>
  <c r="L581"/>
  <c r="L580"/>
  <c r="L579"/>
  <c r="L578"/>
  <c r="L576"/>
  <c r="L575"/>
  <c r="L562"/>
  <c r="L561"/>
  <c r="H558"/>
  <c r="L558" s="1"/>
  <c r="L557"/>
  <c r="L555"/>
  <c r="L554"/>
  <c r="L553"/>
  <c r="L552"/>
  <c r="H550"/>
  <c r="L550" s="1"/>
  <c r="L549"/>
  <c r="L548"/>
  <c r="L547"/>
  <c r="L546"/>
  <c r="L545"/>
  <c r="L544"/>
  <c r="L543"/>
  <c r="L542"/>
  <c r="L541"/>
  <c r="L540"/>
  <c r="H538"/>
  <c r="L538" s="1"/>
  <c r="L537"/>
  <c r="L536"/>
  <c r="L535"/>
  <c r="L534"/>
  <c r="L533"/>
  <c r="L532"/>
  <c r="L531"/>
  <c r="L530"/>
  <c r="L529"/>
  <c r="L528"/>
  <c r="L526"/>
  <c r="H525"/>
  <c r="L525" s="1"/>
  <c r="L524"/>
  <c r="L523"/>
  <c r="L522"/>
  <c r="M521"/>
  <c r="M1535" s="1"/>
  <c r="L521"/>
  <c r="L519"/>
  <c r="H518"/>
  <c r="L518" s="1"/>
  <c r="L516"/>
  <c r="L515"/>
  <c r="H513"/>
  <c r="L513" s="1"/>
  <c r="L512"/>
  <c r="L511"/>
  <c r="L510"/>
  <c r="L509"/>
  <c r="L508"/>
  <c r="L507"/>
  <c r="L506"/>
  <c r="L505"/>
  <c r="H503"/>
  <c r="L503" s="1"/>
  <c r="L502"/>
  <c r="L501"/>
  <c r="L500"/>
  <c r="L499"/>
  <c r="L498"/>
  <c r="L497"/>
  <c r="L496"/>
  <c r="L495"/>
  <c r="L493"/>
  <c r="L492"/>
  <c r="L490"/>
  <c r="L489"/>
  <c r="L488"/>
  <c r="L487"/>
  <c r="L486"/>
  <c r="L485"/>
  <c r="L484"/>
  <c r="L483"/>
  <c r="L482"/>
  <c r="L481"/>
  <c r="L480"/>
  <c r="L479"/>
  <c r="L478"/>
  <c r="L477"/>
  <c r="L476"/>
  <c r="H474"/>
  <c r="L474" s="1"/>
  <c r="L473"/>
  <c r="L472"/>
  <c r="L471"/>
  <c r="L470"/>
  <c r="L469"/>
  <c r="L468"/>
  <c r="L467"/>
  <c r="L466"/>
  <c r="L465"/>
  <c r="L464"/>
  <c r="L463"/>
  <c r="L462"/>
  <c r="L461"/>
  <c r="L460"/>
  <c r="L459"/>
  <c r="L458"/>
  <c r="L456"/>
  <c r="L455" s="1"/>
  <c r="J45" i="164" s="1"/>
  <c r="M45" s="1"/>
  <c r="N45" s="1"/>
  <c r="L454" i="156"/>
  <c r="L453" s="1"/>
  <c r="L452"/>
  <c r="L451"/>
  <c r="L449"/>
  <c r="L448"/>
  <c r="L447"/>
  <c r="L446"/>
  <c r="L445"/>
  <c r="L444"/>
  <c r="H443"/>
  <c r="L443" s="1"/>
  <c r="L442"/>
  <c r="L441"/>
  <c r="L440"/>
  <c r="L439"/>
  <c r="L438"/>
  <c r="L437"/>
  <c r="L436"/>
  <c r="L435"/>
  <c r="L432"/>
  <c r="L431"/>
  <c r="L430"/>
  <c r="L429"/>
  <c r="L427"/>
  <c r="L426"/>
  <c r="L424"/>
  <c r="L423" s="1"/>
  <c r="L422"/>
  <c r="L421" s="1"/>
  <c r="L420"/>
  <c r="L419" s="1"/>
  <c r="J37" i="164" s="1"/>
  <c r="M37" s="1"/>
  <c r="N37" s="1"/>
  <c r="L418" i="156"/>
  <c r="L417" s="1"/>
  <c r="L416"/>
  <c r="L415"/>
  <c r="H414"/>
  <c r="L414" s="1"/>
  <c r="L413"/>
  <c r="L411"/>
  <c r="L410"/>
  <c r="L408"/>
  <c r="L407"/>
  <c r="L405"/>
  <c r="L404"/>
  <c r="I397"/>
  <c r="L397" s="1"/>
  <c r="L396"/>
  <c r="L394"/>
  <c r="L393"/>
  <c r="L392"/>
  <c r="L391"/>
  <c r="L390"/>
  <c r="L389"/>
  <c r="L388"/>
  <c r="L387"/>
  <c r="L386"/>
  <c r="L385"/>
  <c r="L384"/>
  <c r="L383"/>
  <c r="L382"/>
  <c r="L381"/>
  <c r="L380"/>
  <c r="H379"/>
  <c r="L379" s="1"/>
  <c r="L378"/>
  <c r="L377"/>
  <c r="L376"/>
  <c r="L375"/>
  <c r="L374"/>
  <c r="L373"/>
  <c r="L372"/>
  <c r="L371"/>
  <c r="L370"/>
  <c r="L369"/>
  <c r="L367"/>
  <c r="L366"/>
  <c r="L365"/>
  <c r="L364"/>
  <c r="L363"/>
  <c r="L362"/>
  <c r="L361"/>
  <c r="L359"/>
  <c r="L358"/>
  <c r="L357"/>
  <c r="L356"/>
  <c r="L354"/>
  <c r="L353"/>
  <c r="L351"/>
  <c r="L350"/>
  <c r="L349"/>
  <c r="L348"/>
  <c r="L347"/>
  <c r="L346"/>
  <c r="L345"/>
  <c r="L344"/>
  <c r="L343"/>
  <c r="L342"/>
  <c r="L341"/>
  <c r="L340"/>
  <c r="L339"/>
  <c r="L338"/>
  <c r="L337"/>
  <c r="L335"/>
  <c r="L334"/>
  <c r="L333"/>
  <c r="L332"/>
  <c r="L331"/>
  <c r="L330"/>
  <c r="L329"/>
  <c r="L328"/>
  <c r="L327"/>
  <c r="L326"/>
  <c r="L325"/>
  <c r="L324"/>
  <c r="L323"/>
  <c r="L322"/>
  <c r="L321"/>
  <c r="L319"/>
  <c r="L318"/>
  <c r="L317"/>
  <c r="L316"/>
  <c r="L314"/>
  <c r="L313"/>
  <c r="L312"/>
  <c r="L311"/>
  <c r="L309"/>
  <c r="L308"/>
  <c r="L307"/>
  <c r="L306"/>
  <c r="L304"/>
  <c r="L303"/>
  <c r="L302"/>
  <c r="L301"/>
  <c r="L299"/>
  <c r="L298"/>
  <c r="L297"/>
  <c r="L296"/>
  <c r="L295"/>
  <c r="L294"/>
  <c r="L293"/>
  <c r="L292"/>
  <c r="L291"/>
  <c r="L290"/>
  <c r="L289"/>
  <c r="L288"/>
  <c r="L287"/>
  <c r="L286"/>
  <c r="L282"/>
  <c r="L279"/>
  <c r="L278"/>
  <c r="L277"/>
  <c r="L276"/>
  <c r="L275"/>
  <c r="L274"/>
  <c r="L273"/>
  <c r="L272"/>
  <c r="L270"/>
  <c r="L269"/>
  <c r="L268"/>
  <c r="L267"/>
  <c r="L266"/>
  <c r="L265"/>
  <c r="L264"/>
  <c r="L263"/>
  <c r="L262"/>
  <c r="L261"/>
  <c r="L260"/>
  <c r="L257"/>
  <c r="L256"/>
  <c r="L255"/>
  <c r="L254"/>
  <c r="L253"/>
  <c r="L252"/>
  <c r="L250"/>
  <c r="L249"/>
  <c r="L248"/>
  <c r="L235"/>
  <c r="L234"/>
  <c r="L233" s="1"/>
  <c r="L232"/>
  <c r="L231"/>
  <c r="L230"/>
  <c r="L229"/>
  <c r="L228"/>
  <c r="L226"/>
  <c r="L225"/>
  <c r="L223"/>
  <c r="L222"/>
  <c r="L221"/>
  <c r="L220"/>
  <c r="L219"/>
  <c r="L218"/>
  <c r="L217"/>
  <c r="L215"/>
  <c r="L214"/>
  <c r="H213"/>
  <c r="L213" s="1"/>
  <c r="L212"/>
  <c r="L211"/>
  <c r="L210"/>
  <c r="L208"/>
  <c r="L207"/>
  <c r="L206"/>
  <c r="L205"/>
  <c r="L204"/>
  <c r="L203"/>
  <c r="L201"/>
  <c r="L200"/>
  <c r="L199"/>
  <c r="L198"/>
  <c r="L197"/>
  <c r="L196"/>
  <c r="L194"/>
  <c r="L192"/>
  <c r="L191"/>
  <c r="L190"/>
  <c r="L189"/>
  <c r="L188"/>
  <c r="L187"/>
  <c r="L186"/>
  <c r="L185"/>
  <c r="L184"/>
  <c r="L183"/>
  <c r="L182"/>
  <c r="L179"/>
  <c r="L178"/>
  <c r="L177"/>
  <c r="L176"/>
  <c r="L174"/>
  <c r="L173"/>
  <c r="L172"/>
  <c r="L171"/>
  <c r="L170"/>
  <c r="L169"/>
  <c r="L168"/>
  <c r="L167"/>
  <c r="L165"/>
  <c r="H164"/>
  <c r="L164" s="1"/>
  <c r="L163"/>
  <c r="L162"/>
  <c r="L161"/>
  <c r="L160"/>
  <c r="L159"/>
  <c r="L158"/>
  <c r="L157"/>
  <c r="L156"/>
  <c r="L155"/>
  <c r="L152"/>
  <c r="L151"/>
  <c r="L150"/>
  <c r="L149"/>
  <c r="L148"/>
  <c r="L147"/>
  <c r="L145"/>
  <c r="L144"/>
  <c r="L143"/>
  <c r="L142"/>
  <c r="L141"/>
  <c r="L140"/>
  <c r="L138"/>
  <c r="L136"/>
  <c r="H135"/>
  <c r="L135" s="1"/>
  <c r="L134"/>
  <c r="L133"/>
  <c r="L132"/>
  <c r="L131"/>
  <c r="L130"/>
  <c r="L129"/>
  <c r="L128"/>
  <c r="L127"/>
  <c r="L126"/>
  <c r="L123"/>
  <c r="L122"/>
  <c r="L121"/>
  <c r="L120"/>
  <c r="L119"/>
  <c r="L118"/>
  <c r="L116"/>
  <c r="L115"/>
  <c r="L114"/>
  <c r="L113"/>
  <c r="L112"/>
  <c r="L111"/>
  <c r="L109"/>
  <c r="L107"/>
  <c r="H106"/>
  <c r="L106" s="1"/>
  <c r="L105"/>
  <c r="L104"/>
  <c r="L103"/>
  <c r="L102"/>
  <c r="L101"/>
  <c r="L100"/>
  <c r="L99"/>
  <c r="L98"/>
  <c r="L97"/>
  <c r="L94"/>
  <c r="L93"/>
  <c r="L92"/>
  <c r="L91"/>
  <c r="L90"/>
  <c r="L89"/>
  <c r="L87"/>
  <c r="L86"/>
  <c r="L85"/>
  <c r="L84"/>
  <c r="L83"/>
  <c r="L82"/>
  <c r="L80"/>
  <c r="L78"/>
  <c r="H77"/>
  <c r="L77" s="1"/>
  <c r="L76"/>
  <c r="L75"/>
  <c r="L74"/>
  <c r="L73"/>
  <c r="L72"/>
  <c r="L71"/>
  <c r="L70"/>
  <c r="L69"/>
  <c r="L68"/>
  <c r="L65"/>
  <c r="L64"/>
  <c r="L63"/>
  <c r="L62"/>
  <c r="L61"/>
  <c r="L60"/>
  <c r="L58"/>
  <c r="L57"/>
  <c r="L56"/>
  <c r="L55"/>
  <c r="L54"/>
  <c r="L53"/>
  <c r="L51"/>
  <c r="L49"/>
  <c r="L48"/>
  <c r="L47"/>
  <c r="L46"/>
  <c r="L45"/>
  <c r="L44"/>
  <c r="L43"/>
  <c r="L42"/>
  <c r="L41"/>
  <c r="L40"/>
  <c r="L39"/>
  <c r="L36"/>
  <c r="L35"/>
  <c r="L34"/>
  <c r="L33"/>
  <c r="L32"/>
  <c r="L31"/>
  <c r="L29"/>
  <c r="L28"/>
  <c r="L27"/>
  <c r="L26"/>
  <c r="L25"/>
  <c r="L24"/>
  <c r="L23"/>
  <c r="L22"/>
  <c r="L20"/>
  <c r="L19"/>
  <c r="L18"/>
  <c r="L17"/>
  <c r="L16"/>
  <c r="L15"/>
  <c r="L14"/>
  <c r="L13"/>
  <c r="L12"/>
  <c r="L11"/>
  <c r="L10"/>
  <c r="L9"/>
  <c r="L8"/>
  <c r="L7"/>
  <c r="L6"/>
  <c r="L5"/>
  <c r="O60" i="150" l="1"/>
  <c r="G80" i="163"/>
  <c r="O61" i="150"/>
  <c r="H81" i="163"/>
  <c r="J81" s="1"/>
  <c r="L560" i="156"/>
  <c r="K58" i="165" s="1"/>
  <c r="M58" s="1"/>
  <c r="N58" s="1"/>
  <c r="L886" i="156"/>
  <c r="O93" i="157" s="1"/>
  <c r="L1069" i="156"/>
  <c r="K116" i="158" s="1"/>
  <c r="O116" s="1"/>
  <c r="T116" s="1"/>
  <c r="L1016" i="156"/>
  <c r="J107" i="164" s="1"/>
  <c r="M107" s="1"/>
  <c r="T107" s="1"/>
  <c r="M59" i="150"/>
  <c r="H79" i="163" s="1"/>
  <c r="H78" s="1"/>
  <c r="F21" i="174" s="1"/>
  <c r="L491" i="156"/>
  <c r="J48" i="150" s="1"/>
  <c r="E64" i="163" s="1"/>
  <c r="L1029" i="156"/>
  <c r="K110" i="150" s="1"/>
  <c r="K59"/>
  <c r="F79" i="163" s="1"/>
  <c r="L623" i="156"/>
  <c r="L66" i="166" s="1"/>
  <c r="M66" s="1"/>
  <c r="N66" s="1"/>
  <c r="L1045" i="156"/>
  <c r="K111" i="165" s="1"/>
  <c r="M111" s="1"/>
  <c r="N111" s="1"/>
  <c r="M59" i="158"/>
  <c r="K59"/>
  <c r="N59" i="157"/>
  <c r="P59" s="1"/>
  <c r="Q59" s="1"/>
  <c r="L593" i="156"/>
  <c r="J64" i="164" s="1"/>
  <c r="M64" s="1"/>
  <c r="T64" s="1"/>
  <c r="L504" i="156"/>
  <c r="K50" i="165" s="1"/>
  <c r="M50" s="1"/>
  <c r="N50" s="1"/>
  <c r="L320" i="156"/>
  <c r="J24" i="164" s="1"/>
  <c r="M24" s="1"/>
  <c r="N24" s="1"/>
  <c r="L907" i="156"/>
  <c r="K95" i="165" s="1"/>
  <c r="M95" s="1"/>
  <c r="T95" s="1"/>
  <c r="L1013" i="156"/>
  <c r="N106" i="158" s="1"/>
  <c r="L352" i="156"/>
  <c r="J26" i="158" s="1"/>
  <c r="O26" s="1"/>
  <c r="T26" s="1"/>
  <c r="L450" i="156"/>
  <c r="N43" i="158" s="1"/>
  <c r="L457" i="156"/>
  <c r="J46" i="164" s="1"/>
  <c r="M46" s="1"/>
  <c r="N46" s="1"/>
  <c r="L556" i="156"/>
  <c r="L57" i="166" s="1"/>
  <c r="M57" s="1"/>
  <c r="N57" s="1"/>
  <c r="L673" i="156"/>
  <c r="K74" i="165" s="1"/>
  <c r="M74" s="1"/>
  <c r="N74" s="1"/>
  <c r="L708" i="156"/>
  <c r="K77" i="158" s="1"/>
  <c r="L745" i="156"/>
  <c r="J81" i="164" s="1"/>
  <c r="M81" s="1"/>
  <c r="N81" s="1"/>
  <c r="L858" i="156"/>
  <c r="L944"/>
  <c r="K98" i="165" s="1"/>
  <c r="M98" s="1"/>
  <c r="T98" s="1"/>
  <c r="L1000" i="156"/>
  <c r="N103" i="158" s="1"/>
  <c r="L1026" i="156"/>
  <c r="M109" i="157" s="1"/>
  <c r="L1138" i="156"/>
  <c r="J119" i="164" s="1"/>
  <c r="M119" s="1"/>
  <c r="N119" s="1"/>
  <c r="L676" i="156"/>
  <c r="J75" i="164" s="1"/>
  <c r="M75" s="1"/>
  <c r="T75" s="1"/>
  <c r="L777" i="156"/>
  <c r="N83" i="158" s="1"/>
  <c r="L1188" i="156"/>
  <c r="K127" i="165" s="1"/>
  <c r="M127" s="1"/>
  <c r="R127" s="1"/>
  <c r="L39" i="166"/>
  <c r="M39" s="1"/>
  <c r="N39" s="1"/>
  <c r="K39" i="165"/>
  <c r="M39" s="1"/>
  <c r="N39" s="1"/>
  <c r="J39" i="164"/>
  <c r="M39" s="1"/>
  <c r="N39" s="1"/>
  <c r="K43" i="165"/>
  <c r="M43" s="1"/>
  <c r="N43" s="1"/>
  <c r="L44" i="166"/>
  <c r="M44" s="1"/>
  <c r="R44" s="1"/>
  <c r="K44" i="165"/>
  <c r="M44" s="1"/>
  <c r="R44" s="1"/>
  <c r="J44" i="164"/>
  <c r="M44" s="1"/>
  <c r="R44" s="1"/>
  <c r="L71" i="166"/>
  <c r="M71" s="1"/>
  <c r="N71" s="1"/>
  <c r="K71" i="165"/>
  <c r="M71" s="1"/>
  <c r="N71" s="1"/>
  <c r="J71" i="164"/>
  <c r="M71" s="1"/>
  <c r="N71" s="1"/>
  <c r="L79" i="166"/>
  <c r="M79" s="1"/>
  <c r="T79" s="1"/>
  <c r="K79" i="165"/>
  <c r="M79" s="1"/>
  <c r="T79" s="1"/>
  <c r="J79" i="164"/>
  <c r="M79" s="1"/>
  <c r="T79" s="1"/>
  <c r="L84" i="166"/>
  <c r="M84" s="1"/>
  <c r="N84" s="1"/>
  <c r="K84" i="165"/>
  <c r="M84" s="1"/>
  <c r="N84" s="1"/>
  <c r="J84" i="164"/>
  <c r="M84" s="1"/>
  <c r="N84" s="1"/>
  <c r="L100" i="166"/>
  <c r="M100" s="1"/>
  <c r="K100" i="165"/>
  <c r="M100" s="1"/>
  <c r="J100" i="164"/>
  <c r="M100" s="1"/>
  <c r="K106" i="165"/>
  <c r="M106" s="1"/>
  <c r="T106" s="1"/>
  <c r="L112" i="166"/>
  <c r="M112" s="1"/>
  <c r="K112" i="165"/>
  <c r="M112" s="1"/>
  <c r="J112" i="164"/>
  <c r="M112" s="1"/>
  <c r="L113" i="166"/>
  <c r="M113" s="1"/>
  <c r="K113" i="165"/>
  <c r="M113" s="1"/>
  <c r="J113" i="164"/>
  <c r="M113" s="1"/>
  <c r="L114" i="166"/>
  <c r="M114" s="1"/>
  <c r="K114" i="165"/>
  <c r="M114" s="1"/>
  <c r="J114" i="164"/>
  <c r="M114" s="1"/>
  <c r="L115" i="166"/>
  <c r="M115" s="1"/>
  <c r="T115" s="1"/>
  <c r="K115" i="165"/>
  <c r="M115" s="1"/>
  <c r="T115" s="1"/>
  <c r="J115" i="164"/>
  <c r="M115" s="1"/>
  <c r="T115" s="1"/>
  <c r="O123" i="165"/>
  <c r="M123"/>
  <c r="L124" i="166"/>
  <c r="M124" s="1"/>
  <c r="N124" s="1"/>
  <c r="K124" i="165"/>
  <c r="M124" s="1"/>
  <c r="N124" s="1"/>
  <c r="J124" i="164"/>
  <c r="M124" s="1"/>
  <c r="N124" s="1"/>
  <c r="L131" i="166"/>
  <c r="M131" s="1"/>
  <c r="K131" i="165"/>
  <c r="M131" s="1"/>
  <c r="J131" i="164"/>
  <c r="M131" s="1"/>
  <c r="L135" i="166"/>
  <c r="M135" s="1"/>
  <c r="R135" s="1"/>
  <c r="K135" i="165"/>
  <c r="M135" s="1"/>
  <c r="R135" s="1"/>
  <c r="J135" i="164"/>
  <c r="M135" s="1"/>
  <c r="R135" s="1"/>
  <c r="R139"/>
  <c r="P139"/>
  <c r="T139"/>
  <c r="Q139"/>
  <c r="O139"/>
  <c r="N139"/>
  <c r="Q139" i="166"/>
  <c r="N139"/>
  <c r="O139"/>
  <c r="R139"/>
  <c r="T139"/>
  <c r="P139"/>
  <c r="N141" i="164"/>
  <c r="Q141"/>
  <c r="P141"/>
  <c r="R141"/>
  <c r="T141"/>
  <c r="O141"/>
  <c r="R141" i="166"/>
  <c r="Q141"/>
  <c r="O141"/>
  <c r="P141"/>
  <c r="T141"/>
  <c r="N141"/>
  <c r="T151" i="164"/>
  <c r="N151"/>
  <c r="O151"/>
  <c r="Q151"/>
  <c r="P151"/>
  <c r="R151"/>
  <c r="T151" i="166"/>
  <c r="N151"/>
  <c r="Q151"/>
  <c r="O151"/>
  <c r="P151"/>
  <c r="R151"/>
  <c r="M153" i="157"/>
  <c r="J153" i="164"/>
  <c r="M153" s="1"/>
  <c r="P153" s="1"/>
  <c r="N159" i="157"/>
  <c r="K159" i="165"/>
  <c r="M159" s="1"/>
  <c r="P159" s="1"/>
  <c r="L37" i="156"/>
  <c r="M6" i="157" s="1"/>
  <c r="L66" i="156"/>
  <c r="N7" i="158" s="1"/>
  <c r="L336" i="156"/>
  <c r="L36" i="166"/>
  <c r="M36" s="1"/>
  <c r="T36" s="1"/>
  <c r="J36" i="164"/>
  <c r="M36" s="1"/>
  <c r="T36" s="1"/>
  <c r="K36" i="165"/>
  <c r="M36" s="1"/>
  <c r="T36" s="1"/>
  <c r="L38" i="166"/>
  <c r="M38" s="1"/>
  <c r="N38" s="1"/>
  <c r="J38" i="164"/>
  <c r="M38" s="1"/>
  <c r="N38" s="1"/>
  <c r="L73" i="166"/>
  <c r="M73" s="1"/>
  <c r="N73" s="1"/>
  <c r="K73" i="165"/>
  <c r="M73" s="1"/>
  <c r="N73" s="1"/>
  <c r="J73" i="164"/>
  <c r="M73" s="1"/>
  <c r="N73" s="1"/>
  <c r="L78" i="166"/>
  <c r="K78" i="165"/>
  <c r="J78" i="164"/>
  <c r="L105" i="166"/>
  <c r="M105" s="1"/>
  <c r="T105" s="1"/>
  <c r="K105" i="165"/>
  <c r="M105" s="1"/>
  <c r="T105" s="1"/>
  <c r="J105" i="164"/>
  <c r="M105" s="1"/>
  <c r="T105" s="1"/>
  <c r="O123"/>
  <c r="M123"/>
  <c r="N123" i="166"/>
  <c r="M123"/>
  <c r="L132"/>
  <c r="M132" s="1"/>
  <c r="K132" i="165"/>
  <c r="M132" s="1"/>
  <c r="J132" i="164"/>
  <c r="M132" s="1"/>
  <c r="M136" i="157"/>
  <c r="J136" i="164"/>
  <c r="M136" s="1"/>
  <c r="N136" s="1"/>
  <c r="R139" i="165"/>
  <c r="T139"/>
  <c r="P139"/>
  <c r="Q139"/>
  <c r="N139"/>
  <c r="O139"/>
  <c r="R141"/>
  <c r="P141"/>
  <c r="T141"/>
  <c r="N141"/>
  <c r="Q141"/>
  <c r="O141"/>
  <c r="T151"/>
  <c r="P151"/>
  <c r="R151"/>
  <c r="O151"/>
  <c r="Q151"/>
  <c r="N151"/>
  <c r="M159" i="157"/>
  <c r="J159" i="164"/>
  <c r="M159" s="1"/>
  <c r="P159" s="1"/>
  <c r="N25" i="158"/>
  <c r="O25" s="1"/>
  <c r="V25" s="1"/>
  <c r="J14" i="150"/>
  <c r="J14" i="158"/>
  <c r="O14" s="1"/>
  <c r="T14" s="1"/>
  <c r="L300" i="156"/>
  <c r="J20" i="164" s="1"/>
  <c r="M20" s="1"/>
  <c r="T20" s="1"/>
  <c r="L305" i="156"/>
  <c r="J21" i="164" s="1"/>
  <c r="M21" s="1"/>
  <c r="T21" s="1"/>
  <c r="L310" i="156"/>
  <c r="L22" i="150" s="1"/>
  <c r="G63" i="163" s="1"/>
  <c r="L315" i="156"/>
  <c r="J23" i="164" s="1"/>
  <c r="M23" s="1"/>
  <c r="N23" s="1"/>
  <c r="L368" i="156"/>
  <c r="K29" i="150" s="1"/>
  <c r="F35" i="163" s="1"/>
  <c r="L403" i="156"/>
  <c r="K32" i="150" s="1"/>
  <c r="F38" i="163" s="1"/>
  <c r="L409" i="156"/>
  <c r="J34" i="164" s="1"/>
  <c r="M34" s="1"/>
  <c r="N34" s="1"/>
  <c r="N36" i="157"/>
  <c r="O36"/>
  <c r="M36"/>
  <c r="N36" i="158"/>
  <c r="L36"/>
  <c r="J36"/>
  <c r="M36"/>
  <c r="K36"/>
  <c r="O38" i="157"/>
  <c r="M38"/>
  <c r="L38" i="158"/>
  <c r="N38"/>
  <c r="L425" i="156"/>
  <c r="L428"/>
  <c r="J41" i="164" s="1"/>
  <c r="M41" s="1"/>
  <c r="T41" s="1"/>
  <c r="L433" i="156"/>
  <c r="J42" i="150" s="1"/>
  <c r="E27" i="163" s="1"/>
  <c r="L45" i="150"/>
  <c r="M45" i="157"/>
  <c r="P45" s="1"/>
  <c r="Q45" s="1"/>
  <c r="L45" i="158"/>
  <c r="O45" s="1"/>
  <c r="P45" s="1"/>
  <c r="L539" i="156"/>
  <c r="K55" i="150" s="1"/>
  <c r="F71" i="163" s="1"/>
  <c r="L609" i="156"/>
  <c r="N65" i="150" s="1"/>
  <c r="L70"/>
  <c r="G87" i="163" s="1"/>
  <c r="M70" i="157"/>
  <c r="L70" i="158"/>
  <c r="N70" i="150"/>
  <c r="O70" i="157"/>
  <c r="N70" i="158"/>
  <c r="O73" i="157"/>
  <c r="M73"/>
  <c r="N73"/>
  <c r="N73" i="158"/>
  <c r="L73"/>
  <c r="J73"/>
  <c r="M73"/>
  <c r="K73"/>
  <c r="N78" i="157"/>
  <c r="O78"/>
  <c r="M78"/>
  <c r="M78" i="158"/>
  <c r="K78"/>
  <c r="N78"/>
  <c r="L78"/>
  <c r="J78"/>
  <c r="K87" i="150"/>
  <c r="F108" i="163" s="1"/>
  <c r="K87" i="158"/>
  <c r="M87" i="150"/>
  <c r="H108" i="163" s="1"/>
  <c r="N87" i="157"/>
  <c r="M87" i="158"/>
  <c r="J88" i="150"/>
  <c r="E109" i="163" s="1"/>
  <c r="J88" i="158"/>
  <c r="L88" i="150"/>
  <c r="G109" i="163" s="1"/>
  <c r="M88" i="157"/>
  <c r="L88" i="158"/>
  <c r="N88" i="150"/>
  <c r="O88" i="157"/>
  <c r="N88" i="158"/>
  <c r="K89" i="150"/>
  <c r="F110" i="163" s="1"/>
  <c r="K89" i="158"/>
  <c r="M89" i="150"/>
  <c r="H110" i="163" s="1"/>
  <c r="N89" i="157"/>
  <c r="M89" i="158"/>
  <c r="J90" i="150"/>
  <c r="E111" i="163" s="1"/>
  <c r="J90" i="158"/>
  <c r="L90" i="150"/>
  <c r="G111" i="163" s="1"/>
  <c r="M90" i="157"/>
  <c r="L90" i="158"/>
  <c r="N90" i="150"/>
  <c r="O90" i="157"/>
  <c r="N90" i="158"/>
  <c r="L99" i="150"/>
  <c r="G116" i="163" s="1"/>
  <c r="M99" i="157"/>
  <c r="L99" i="158"/>
  <c r="N99" i="150"/>
  <c r="O99" i="157"/>
  <c r="N99" i="158"/>
  <c r="K104" i="150"/>
  <c r="F139" i="163" s="1"/>
  <c r="K104" i="158"/>
  <c r="M104" i="150"/>
  <c r="H139" i="163" s="1"/>
  <c r="N104" i="157"/>
  <c r="M104" i="158"/>
  <c r="N105" i="157"/>
  <c r="O105"/>
  <c r="M105"/>
  <c r="M105" i="158"/>
  <c r="K105"/>
  <c r="N105"/>
  <c r="L105"/>
  <c r="J108" i="150"/>
  <c r="E141" i="163" s="1"/>
  <c r="J108" i="158"/>
  <c r="L108" i="150"/>
  <c r="G141" i="163" s="1"/>
  <c r="M108" i="157"/>
  <c r="L108" i="158"/>
  <c r="N108" i="150"/>
  <c r="O108" i="157"/>
  <c r="N108" i="158"/>
  <c r="O121" i="150"/>
  <c r="O121" i="158"/>
  <c r="Q121" s="1"/>
  <c r="K122"/>
  <c r="K122" i="150"/>
  <c r="F167" i="163" s="1"/>
  <c r="N122" i="157"/>
  <c r="M122" i="158"/>
  <c r="M122" i="150"/>
  <c r="H167" i="163" s="1"/>
  <c r="M123" i="157"/>
  <c r="L123" i="158"/>
  <c r="L123" i="150"/>
  <c r="G168" i="163" s="1"/>
  <c r="N123" i="150"/>
  <c r="O123" i="157"/>
  <c r="Q123" s="1"/>
  <c r="N123" i="158"/>
  <c r="P123" s="1"/>
  <c r="J126" i="150"/>
  <c r="E177" i="163" s="1"/>
  <c r="J126" i="158"/>
  <c r="L126" i="150"/>
  <c r="G177" i="163" s="1"/>
  <c r="M126" i="157"/>
  <c r="L126" i="158"/>
  <c r="N126" i="150"/>
  <c r="O126" i="157"/>
  <c r="N126" i="158"/>
  <c r="L129" i="150"/>
  <c r="G209" i="163" s="1"/>
  <c r="M129" i="157"/>
  <c r="L129" i="158"/>
  <c r="N129" i="150"/>
  <c r="O129" i="157"/>
  <c r="N129" i="158"/>
  <c r="O132" i="157"/>
  <c r="M132"/>
  <c r="N132"/>
  <c r="N132" i="158"/>
  <c r="L132"/>
  <c r="J132"/>
  <c r="M132"/>
  <c r="K132"/>
  <c r="M133" i="150"/>
  <c r="H180" i="163" s="1"/>
  <c r="N133" i="157"/>
  <c r="M133" i="158"/>
  <c r="J136" i="150"/>
  <c r="E213" i="163" s="1"/>
  <c r="J136" i="158"/>
  <c r="N136" i="150"/>
  <c r="O136" i="157"/>
  <c r="N136" i="158"/>
  <c r="K137" i="150"/>
  <c r="F171" i="163" s="1"/>
  <c r="K137" i="158"/>
  <c r="M137" i="150"/>
  <c r="H171" i="163" s="1"/>
  <c r="N137" i="157"/>
  <c r="M137" i="158"/>
  <c r="J138" i="150"/>
  <c r="E172" i="163" s="1"/>
  <c r="J138" i="158"/>
  <c r="L138" i="150"/>
  <c r="G172" i="163" s="1"/>
  <c r="M138" i="157"/>
  <c r="L138" i="158"/>
  <c r="N138" i="150"/>
  <c r="O138" i="157"/>
  <c r="N138" i="158"/>
  <c r="N139" i="157"/>
  <c r="M139" i="158"/>
  <c r="J140" i="150"/>
  <c r="E183" i="163" s="1"/>
  <c r="J140" i="158"/>
  <c r="L140" i="150"/>
  <c r="G183" i="163" s="1"/>
  <c r="M140" i="157"/>
  <c r="L140" i="158"/>
  <c r="N140" i="150"/>
  <c r="O140" i="157"/>
  <c r="N140" i="158"/>
  <c r="K141" i="150"/>
  <c r="F184" i="163" s="1"/>
  <c r="K141" i="158"/>
  <c r="M141" i="150"/>
  <c r="H184" i="163" s="1"/>
  <c r="N141" i="157"/>
  <c r="M141" i="158"/>
  <c r="J142" i="150"/>
  <c r="E185" i="163" s="1"/>
  <c r="J142" i="158"/>
  <c r="L142" i="150"/>
  <c r="G185" i="163" s="1"/>
  <c r="M142" i="157"/>
  <c r="L142" i="158"/>
  <c r="N142" i="150"/>
  <c r="O142" i="157"/>
  <c r="N142" i="158"/>
  <c r="K143" i="150"/>
  <c r="F186" i="163" s="1"/>
  <c r="K143" i="158"/>
  <c r="M143" i="150"/>
  <c r="H186" i="163" s="1"/>
  <c r="N143" i="157"/>
  <c r="M143" i="158"/>
  <c r="J144" i="150"/>
  <c r="E199" i="163" s="1"/>
  <c r="J144" i="158"/>
  <c r="L144" i="150"/>
  <c r="G199" i="163" s="1"/>
  <c r="M144" i="157"/>
  <c r="L144" i="158"/>
  <c r="N144" i="150"/>
  <c r="O144" i="157"/>
  <c r="N144" i="158"/>
  <c r="K145" i="150"/>
  <c r="F187" i="163" s="1"/>
  <c r="K145" i="158"/>
  <c r="M145" i="150"/>
  <c r="H187" i="163" s="1"/>
  <c r="N145" i="157"/>
  <c r="M145" i="158"/>
  <c r="J146" i="150"/>
  <c r="E214" i="163" s="1"/>
  <c r="J146" i="158"/>
  <c r="L146" i="150"/>
  <c r="G214" i="163" s="1"/>
  <c r="M146" i="157"/>
  <c r="L146" i="158"/>
  <c r="N146" i="150"/>
  <c r="O146" i="157"/>
  <c r="N146" i="158"/>
  <c r="K147"/>
  <c r="K147" i="150"/>
  <c r="F215" i="163" s="1"/>
  <c r="N147" i="157"/>
  <c r="M147" i="158"/>
  <c r="M147" i="150"/>
  <c r="H215" i="163" s="1"/>
  <c r="J148" i="158"/>
  <c r="J148" i="150"/>
  <c r="E216" i="163" s="1"/>
  <c r="M148" i="157"/>
  <c r="L148" i="158"/>
  <c r="L148" i="150"/>
  <c r="G216" i="163" s="1"/>
  <c r="K149" i="158"/>
  <c r="K149" i="150"/>
  <c r="F217" i="163" s="1"/>
  <c r="N149" i="157"/>
  <c r="M149" i="158"/>
  <c r="M149" i="150"/>
  <c r="H217" i="163" s="1"/>
  <c r="J150" i="158"/>
  <c r="J150" i="150"/>
  <c r="E218" i="163" s="1"/>
  <c r="M150" i="157"/>
  <c r="L150" i="158"/>
  <c r="L150" i="150"/>
  <c r="G218" i="163" s="1"/>
  <c r="O150" i="157"/>
  <c r="N150" i="158"/>
  <c r="N150" i="150"/>
  <c r="K151" i="158"/>
  <c r="K151" i="150"/>
  <c r="F219" i="163" s="1"/>
  <c r="N151" i="157"/>
  <c r="M151" i="158"/>
  <c r="M151" i="150"/>
  <c r="H219" i="163" s="1"/>
  <c r="J152" i="158"/>
  <c r="J152" i="150"/>
  <c r="E220" i="163" s="1"/>
  <c r="M152" i="157"/>
  <c r="L152" i="158"/>
  <c r="K152"/>
  <c r="L152" i="150"/>
  <c r="G220" i="163" s="1"/>
  <c r="K152" i="150"/>
  <c r="F220" i="163" s="1"/>
  <c r="O152" i="157"/>
  <c r="N152" i="158"/>
  <c r="N152" i="150"/>
  <c r="N153" i="157"/>
  <c r="M153" i="158"/>
  <c r="M153" i="150"/>
  <c r="H221" i="163" s="1"/>
  <c r="J154" i="158"/>
  <c r="J154" i="150"/>
  <c r="E192" i="163" s="1"/>
  <c r="M154" i="157"/>
  <c r="L154" i="158"/>
  <c r="L154" i="150"/>
  <c r="G192" i="163" s="1"/>
  <c r="O154" i="157"/>
  <c r="N154" i="158"/>
  <c r="N154" i="150"/>
  <c r="K155" i="158"/>
  <c r="K155" i="150"/>
  <c r="F193" i="163" s="1"/>
  <c r="N155" i="157"/>
  <c r="M155" i="158"/>
  <c r="M155" i="150"/>
  <c r="H193" i="163" s="1"/>
  <c r="J156" i="158"/>
  <c r="J156" i="150"/>
  <c r="E194" i="163" s="1"/>
  <c r="M156" i="157"/>
  <c r="L156" i="158"/>
  <c r="L156" i="150"/>
  <c r="G194" i="163" s="1"/>
  <c r="O156" i="157"/>
  <c r="N156" i="158"/>
  <c r="N156" i="150"/>
  <c r="K157" i="158"/>
  <c r="K157" i="150"/>
  <c r="F200" i="163" s="1"/>
  <c r="N157" i="157"/>
  <c r="M157" i="158"/>
  <c r="M157" i="150"/>
  <c r="H200" i="163" s="1"/>
  <c r="J158" i="158"/>
  <c r="J158" i="150"/>
  <c r="E222" i="163" s="1"/>
  <c r="M158" i="157"/>
  <c r="L158" i="158"/>
  <c r="L158" i="150"/>
  <c r="G222" i="163" s="1"/>
  <c r="O158" i="157"/>
  <c r="N158" i="158"/>
  <c r="N158" i="150"/>
  <c r="J159" i="158"/>
  <c r="J159" i="150"/>
  <c r="E223" i="163" s="1"/>
  <c r="O159" i="157"/>
  <c r="N159" i="158"/>
  <c r="N159" i="150"/>
  <c r="J15"/>
  <c r="J15" i="158"/>
  <c r="O15" s="1"/>
  <c r="L37" i="150"/>
  <c r="M37" i="157"/>
  <c r="P37" s="1"/>
  <c r="Q37" s="1"/>
  <c r="L37" i="158"/>
  <c r="O37" s="1"/>
  <c r="P37" s="1"/>
  <c r="N39" i="157"/>
  <c r="O39"/>
  <c r="M39"/>
  <c r="N39" i="158"/>
  <c r="L39"/>
  <c r="M39"/>
  <c r="O43" i="157"/>
  <c r="N44"/>
  <c r="O44"/>
  <c r="M44"/>
  <c r="M44" i="158"/>
  <c r="K44"/>
  <c r="N44"/>
  <c r="L44"/>
  <c r="J44"/>
  <c r="N50" i="157"/>
  <c r="P50" s="1"/>
  <c r="Q50" s="1"/>
  <c r="M50" i="158"/>
  <c r="O50" s="1"/>
  <c r="P50" s="1"/>
  <c r="L57"/>
  <c r="M69" i="157"/>
  <c r="P69" s="1"/>
  <c r="Q69" s="1"/>
  <c r="L69" i="158"/>
  <c r="J69"/>
  <c r="K69"/>
  <c r="K70" i="150"/>
  <c r="F87" i="163" s="1"/>
  <c r="K70" i="158"/>
  <c r="M70" i="150"/>
  <c r="H87" i="163" s="1"/>
  <c r="N70" i="157"/>
  <c r="M70" i="158"/>
  <c r="O71" i="157"/>
  <c r="M71"/>
  <c r="N71"/>
  <c r="N71" i="158"/>
  <c r="L71"/>
  <c r="J71"/>
  <c r="M71"/>
  <c r="K71"/>
  <c r="N74" i="157"/>
  <c r="K74" i="158"/>
  <c r="O79" i="157"/>
  <c r="M79"/>
  <c r="N79"/>
  <c r="N79" i="158"/>
  <c r="L79"/>
  <c r="J79"/>
  <c r="M79"/>
  <c r="K79"/>
  <c r="N83" i="157"/>
  <c r="O84"/>
  <c r="M84"/>
  <c r="N84"/>
  <c r="M84" i="158"/>
  <c r="K84"/>
  <c r="N84"/>
  <c r="L84"/>
  <c r="J84"/>
  <c r="L85" i="150"/>
  <c r="M85" i="157"/>
  <c r="P85" s="1"/>
  <c r="Q85" s="1"/>
  <c r="L85" i="158"/>
  <c r="O85" s="1"/>
  <c r="P85" s="1"/>
  <c r="L87" i="150"/>
  <c r="G108" i="163" s="1"/>
  <c r="M87" i="157"/>
  <c r="L87" i="158"/>
  <c r="N87" i="150"/>
  <c r="O87" i="157"/>
  <c r="N87" i="158"/>
  <c r="K88" i="150"/>
  <c r="F109" i="163" s="1"/>
  <c r="K88" i="158"/>
  <c r="M88" i="150"/>
  <c r="H109" i="163" s="1"/>
  <c r="N88" i="157"/>
  <c r="M88" i="158"/>
  <c r="L89" i="150"/>
  <c r="G110" i="163" s="1"/>
  <c r="M89" i="157"/>
  <c r="L89" i="158"/>
  <c r="N89" i="150"/>
  <c r="O89" i="157"/>
  <c r="N89" i="158"/>
  <c r="K90" i="150"/>
  <c r="F111" i="163" s="1"/>
  <c r="K90" i="158"/>
  <c r="M90" i="150"/>
  <c r="H111" i="163" s="1"/>
  <c r="N90" i="157"/>
  <c r="M90" i="158"/>
  <c r="N98" i="157"/>
  <c r="P98" s="1"/>
  <c r="W98" s="1"/>
  <c r="K99" i="150"/>
  <c r="F116" i="163" s="1"/>
  <c r="K99" i="158"/>
  <c r="M99" i="150"/>
  <c r="H116" i="163" s="1"/>
  <c r="N99" i="157"/>
  <c r="M99" i="158"/>
  <c r="N100" i="157"/>
  <c r="O100"/>
  <c r="M100"/>
  <c r="M100" i="158"/>
  <c r="K100"/>
  <c r="N100"/>
  <c r="L100"/>
  <c r="J100"/>
  <c r="M103" i="157"/>
  <c r="L104" i="150"/>
  <c r="G139" i="163" s="1"/>
  <c r="M104" i="157"/>
  <c r="L104" i="158"/>
  <c r="N104" i="150"/>
  <c r="O104" i="157"/>
  <c r="N104" i="158"/>
  <c r="J106"/>
  <c r="O107" i="157"/>
  <c r="L107" i="158"/>
  <c r="K108" i="150"/>
  <c r="F141" i="163" s="1"/>
  <c r="K108" i="158"/>
  <c r="M108" i="150"/>
  <c r="H141" i="163" s="1"/>
  <c r="N108" i="157"/>
  <c r="M108" i="158"/>
  <c r="N112" i="157"/>
  <c r="O112"/>
  <c r="M112"/>
  <c r="N112" i="158"/>
  <c r="L112"/>
  <c r="J112"/>
  <c r="M112"/>
  <c r="K112"/>
  <c r="O113" i="157"/>
  <c r="M113"/>
  <c r="N113"/>
  <c r="M113" i="158"/>
  <c r="K113"/>
  <c r="N113"/>
  <c r="L113"/>
  <c r="J113"/>
  <c r="N114" i="157"/>
  <c r="M114"/>
  <c r="O114"/>
  <c r="N114" i="158"/>
  <c r="L114"/>
  <c r="J114"/>
  <c r="M114"/>
  <c r="K114"/>
  <c r="O115" i="157"/>
  <c r="M115"/>
  <c r="N115"/>
  <c r="M115" i="158"/>
  <c r="K115"/>
  <c r="N115"/>
  <c r="L115"/>
  <c r="J115"/>
  <c r="K116" i="150"/>
  <c r="L119" i="158"/>
  <c r="L1165" i="156"/>
  <c r="J122" i="158"/>
  <c r="J122" i="150"/>
  <c r="E167" i="163" s="1"/>
  <c r="M122" i="157"/>
  <c r="L122" i="158"/>
  <c r="L122" i="150"/>
  <c r="G167" i="163" s="1"/>
  <c r="O122" i="157"/>
  <c r="N122" i="158"/>
  <c r="N122" i="150"/>
  <c r="N123" i="157"/>
  <c r="M123" i="158"/>
  <c r="M123" i="150"/>
  <c r="H168" i="163" s="1"/>
  <c r="O124" i="157"/>
  <c r="M124"/>
  <c r="N124"/>
  <c r="N124" i="158"/>
  <c r="L124"/>
  <c r="J124"/>
  <c r="M124"/>
  <c r="K124"/>
  <c r="K126" i="150"/>
  <c r="F177" i="163" s="1"/>
  <c r="K126" i="158"/>
  <c r="M126" i="150"/>
  <c r="H177" i="163" s="1"/>
  <c r="N126" i="157"/>
  <c r="M126" i="158"/>
  <c r="K129" i="150"/>
  <c r="F209" i="163" s="1"/>
  <c r="K129" i="158"/>
  <c r="M129" i="150"/>
  <c r="H209" i="163" s="1"/>
  <c r="N129" i="157"/>
  <c r="M129" i="158"/>
  <c r="N131" i="157"/>
  <c r="O131"/>
  <c r="M131"/>
  <c r="M131" i="158"/>
  <c r="K131"/>
  <c r="N131"/>
  <c r="L131"/>
  <c r="J131"/>
  <c r="O148" i="157"/>
  <c r="N148" i="158"/>
  <c r="J133"/>
  <c r="N148" i="150"/>
  <c r="L133"/>
  <c r="G180" i="163" s="1"/>
  <c r="M133" i="157"/>
  <c r="L133" i="158"/>
  <c r="N133" i="150"/>
  <c r="O133" i="157"/>
  <c r="N133" i="158"/>
  <c r="N135" i="157"/>
  <c r="M135"/>
  <c r="O135"/>
  <c r="M135" i="158"/>
  <c r="K135"/>
  <c r="N135"/>
  <c r="L135"/>
  <c r="J135"/>
  <c r="M136" i="150"/>
  <c r="H213" i="163" s="1"/>
  <c r="N136" i="157"/>
  <c r="M136" i="158"/>
  <c r="L137" i="150"/>
  <c r="G171" i="163" s="1"/>
  <c r="M137" i="157"/>
  <c r="L137" i="158"/>
  <c r="N137" i="150"/>
  <c r="O137" i="157"/>
  <c r="N137" i="158"/>
  <c r="K138" i="150"/>
  <c r="F172" i="163" s="1"/>
  <c r="K138" i="158"/>
  <c r="M138" i="150"/>
  <c r="H172" i="163" s="1"/>
  <c r="N138" i="157"/>
  <c r="M138" i="158"/>
  <c r="M139" i="157"/>
  <c r="L139" i="158"/>
  <c r="O139" i="157"/>
  <c r="N139" i="158"/>
  <c r="K140" i="150"/>
  <c r="F183" i="163" s="1"/>
  <c r="K140" i="158"/>
  <c r="M140" i="150"/>
  <c r="H183" i="163" s="1"/>
  <c r="N140" i="157"/>
  <c r="M140" i="158"/>
  <c r="L141" i="150"/>
  <c r="G184" i="163" s="1"/>
  <c r="M141" i="157"/>
  <c r="L141" i="158"/>
  <c r="N141" i="150"/>
  <c r="O141" i="157"/>
  <c r="N141" i="158"/>
  <c r="K142" i="150"/>
  <c r="F185" i="163" s="1"/>
  <c r="K142" i="158"/>
  <c r="M142" i="150"/>
  <c r="H185" i="163" s="1"/>
  <c r="N142" i="157"/>
  <c r="M142" i="158"/>
  <c r="L143" i="150"/>
  <c r="G186" i="163" s="1"/>
  <c r="M143" i="157"/>
  <c r="L143" i="158"/>
  <c r="N143" i="150"/>
  <c r="O143" i="157"/>
  <c r="N143" i="158"/>
  <c r="K144" i="150"/>
  <c r="F199" i="163" s="1"/>
  <c r="F198" s="1"/>
  <c r="D26" i="174" s="1"/>
  <c r="K144" i="158"/>
  <c r="M144" i="150"/>
  <c r="H199" i="163" s="1"/>
  <c r="H198" s="1"/>
  <c r="F26" i="174" s="1"/>
  <c r="N144" i="157"/>
  <c r="M144" i="158"/>
  <c r="L145" i="150"/>
  <c r="G187" i="163" s="1"/>
  <c r="M145" i="157"/>
  <c r="L145" i="158"/>
  <c r="N145" i="150"/>
  <c r="O145" i="157"/>
  <c r="N145" i="158"/>
  <c r="K146" i="150"/>
  <c r="F214" i="163" s="1"/>
  <c r="K146" i="158"/>
  <c r="M146" i="150"/>
  <c r="H214" i="163" s="1"/>
  <c r="N146" i="157"/>
  <c r="M146" i="158"/>
  <c r="J147"/>
  <c r="J147" i="150"/>
  <c r="E215" i="163" s="1"/>
  <c r="M147" i="157"/>
  <c r="L147" i="158"/>
  <c r="L147" i="150"/>
  <c r="G215" i="163" s="1"/>
  <c r="O147" i="157"/>
  <c r="N147" i="158"/>
  <c r="N147" i="150"/>
  <c r="K148" i="158"/>
  <c r="K148" i="150"/>
  <c r="F216" i="163" s="1"/>
  <c r="N148" i="157"/>
  <c r="M148" i="158"/>
  <c r="M148" i="150"/>
  <c r="H216" i="163" s="1"/>
  <c r="J149" i="158"/>
  <c r="J149" i="150"/>
  <c r="E217" i="163" s="1"/>
  <c r="M149" i="157"/>
  <c r="L149" i="158"/>
  <c r="L149" i="150"/>
  <c r="G217" i="163" s="1"/>
  <c r="O149" i="157"/>
  <c r="N149" i="158"/>
  <c r="N149" i="150"/>
  <c r="K150" i="158"/>
  <c r="K150" i="150"/>
  <c r="F218" i="163" s="1"/>
  <c r="N150" i="157"/>
  <c r="M150" i="158"/>
  <c r="M150" i="150"/>
  <c r="H218" i="163" s="1"/>
  <c r="L1392" i="156"/>
  <c r="J151" i="158"/>
  <c r="J151" i="150"/>
  <c r="E219" i="163" s="1"/>
  <c r="M151" i="157"/>
  <c r="L151" i="158"/>
  <c r="L151" i="150"/>
  <c r="G219" i="163" s="1"/>
  <c r="O151" i="157"/>
  <c r="N151" i="158"/>
  <c r="N151" i="150"/>
  <c r="N152" i="157"/>
  <c r="M152" i="158"/>
  <c r="M152" i="150"/>
  <c r="H220" i="163" s="1"/>
  <c r="J153" i="158"/>
  <c r="J153" i="150"/>
  <c r="E221" i="163" s="1"/>
  <c r="O153" i="157"/>
  <c r="N153" i="158"/>
  <c r="N153" i="150"/>
  <c r="K154" i="158"/>
  <c r="K154" i="150"/>
  <c r="F192" i="163" s="1"/>
  <c r="N154" i="157"/>
  <c r="M154" i="158"/>
  <c r="M154" i="150"/>
  <c r="H192" i="163" s="1"/>
  <c r="J155" i="158"/>
  <c r="J155" i="150"/>
  <c r="E193" i="163" s="1"/>
  <c r="M155" i="157"/>
  <c r="L155" i="158"/>
  <c r="L155" i="150"/>
  <c r="G193" i="163" s="1"/>
  <c r="O155" i="157"/>
  <c r="N155" i="158"/>
  <c r="N155" i="150"/>
  <c r="K156" i="158"/>
  <c r="K156" i="150"/>
  <c r="F194" i="163" s="1"/>
  <c r="N156" i="157"/>
  <c r="M156" i="158"/>
  <c r="M156" i="150"/>
  <c r="H194" i="163" s="1"/>
  <c r="L1490" i="156"/>
  <c r="J157" i="158"/>
  <c r="J157" i="150"/>
  <c r="E200" i="163" s="1"/>
  <c r="M157" i="157"/>
  <c r="L157" i="158"/>
  <c r="L157" i="150"/>
  <c r="G200" i="163" s="1"/>
  <c r="O157" i="157"/>
  <c r="N157" i="158"/>
  <c r="N157" i="150"/>
  <c r="K158" i="158"/>
  <c r="K158" i="150"/>
  <c r="F222" i="163" s="1"/>
  <c r="N158" i="157"/>
  <c r="M158" i="158"/>
  <c r="M158" i="150"/>
  <c r="H222" i="163" s="1"/>
  <c r="K159" i="158"/>
  <c r="K159" i="150"/>
  <c r="F223" i="163" s="1"/>
  <c r="L159" i="158"/>
  <c r="L159" i="150"/>
  <c r="G223" i="163" s="1"/>
  <c r="M159" i="158"/>
  <c r="M159" i="150"/>
  <c r="H223" i="163" s="1"/>
  <c r="K153" i="158"/>
  <c r="K153" i="150"/>
  <c r="F221" i="163" s="1"/>
  <c r="L153" i="158"/>
  <c r="L153" i="150"/>
  <c r="G221" i="163" s="1"/>
  <c r="K136" i="150"/>
  <c r="F213" i="163" s="1"/>
  <c r="K136" i="158"/>
  <c r="L136" i="150"/>
  <c r="G213" i="163" s="1"/>
  <c r="L136" i="158"/>
  <c r="K133" i="150"/>
  <c r="F180" i="163" s="1"/>
  <c r="K133" i="158"/>
  <c r="N139" i="150"/>
  <c r="M139"/>
  <c r="H182" i="163" s="1"/>
  <c r="L139" i="150"/>
  <c r="G182" i="163" s="1"/>
  <c r="K139" i="150"/>
  <c r="F182" i="163" s="1"/>
  <c r="N43" i="150"/>
  <c r="L74"/>
  <c r="G91" i="163" s="1"/>
  <c r="L73" i="150"/>
  <c r="G90" i="163" s="1"/>
  <c r="N73" i="150"/>
  <c r="I90" i="163" s="1"/>
  <c r="K73" i="150"/>
  <c r="F90" i="163" s="1"/>
  <c r="M73" i="150"/>
  <c r="H90" i="163" s="1"/>
  <c r="J73" i="150"/>
  <c r="E90" i="163" s="1"/>
  <c r="L247" i="156"/>
  <c r="L16" i="150" s="1"/>
  <c r="G17" i="163" s="1"/>
  <c r="L280" i="156"/>
  <c r="J18" i="164" s="1"/>
  <c r="M18" s="1"/>
  <c r="N18" s="1"/>
  <c r="L360" i="156"/>
  <c r="L395"/>
  <c r="N39" i="150"/>
  <c r="M39"/>
  <c r="H58" i="163" s="1"/>
  <c r="H52" s="1"/>
  <c r="F13" i="174" s="1"/>
  <c r="L39" i="150"/>
  <c r="G58" i="163" s="1"/>
  <c r="L475" i="156"/>
  <c r="J47" i="164" s="1"/>
  <c r="M47" s="1"/>
  <c r="T47" s="1"/>
  <c r="L517" i="156"/>
  <c r="L520"/>
  <c r="L574"/>
  <c r="L577"/>
  <c r="L642"/>
  <c r="K68" i="165" s="1"/>
  <c r="M68" s="1"/>
  <c r="T68" s="1"/>
  <c r="L660" i="156"/>
  <c r="J70" i="150"/>
  <c r="E87" i="163" s="1"/>
  <c r="L668" i="156"/>
  <c r="L692"/>
  <c r="K78" i="150"/>
  <c r="F95" i="163" s="1"/>
  <c r="M78" i="150"/>
  <c r="H95" i="163" s="1"/>
  <c r="J78" i="150"/>
  <c r="E95" i="163" s="1"/>
  <c r="L78" i="150"/>
  <c r="G95" i="163" s="1"/>
  <c r="N78" i="150"/>
  <c r="L761" i="156"/>
  <c r="K82" i="165" s="1"/>
  <c r="M82" s="1"/>
  <c r="N82" s="1"/>
  <c r="L928" i="156"/>
  <c r="K97" i="165" s="1"/>
  <c r="M97" s="1"/>
  <c r="T97" s="1"/>
  <c r="L960" i="156"/>
  <c r="J99" i="150"/>
  <c r="E116" i="163" s="1"/>
  <c r="L968" i="156"/>
  <c r="L996"/>
  <c r="M105" i="150"/>
  <c r="H140" i="163" s="1"/>
  <c r="L105" i="150"/>
  <c r="G140" i="163" s="1"/>
  <c r="K105" i="150"/>
  <c r="F140" i="163" s="1"/>
  <c r="N105" i="150"/>
  <c r="L1171" i="156"/>
  <c r="L1179"/>
  <c r="L1182"/>
  <c r="L1199"/>
  <c r="J129" i="150"/>
  <c r="E209" i="163" s="1"/>
  <c r="L132" i="150"/>
  <c r="G211" i="163" s="1"/>
  <c r="N132" i="150"/>
  <c r="K132"/>
  <c r="F211" i="163" s="1"/>
  <c r="M132" i="150"/>
  <c r="H211" i="163" s="1"/>
  <c r="J132" i="150"/>
  <c r="E211" i="163" s="1"/>
  <c r="L124" i="156"/>
  <c r="M9" i="150" s="1"/>
  <c r="H10" i="163" s="1"/>
  <c r="L180" i="156"/>
  <c r="J11" i="164" s="1"/>
  <c r="M11" s="1"/>
  <c r="P11" s="1"/>
  <c r="L209" i="156"/>
  <c r="J12" i="164" s="1"/>
  <c r="M12" s="1"/>
  <c r="T12" s="1"/>
  <c r="N25" i="150"/>
  <c r="I55" i="163" s="1"/>
  <c r="M29" i="150"/>
  <c r="H35" i="163" s="1"/>
  <c r="L36" i="150"/>
  <c r="G42" i="163" s="1"/>
  <c r="N36" i="150"/>
  <c r="K36"/>
  <c r="F42" i="163" s="1"/>
  <c r="M36" i="150"/>
  <c r="H42" i="163" s="1"/>
  <c r="J36" i="150"/>
  <c r="E42" i="163" s="1"/>
  <c r="N38" i="150"/>
  <c r="L38"/>
  <c r="G57" i="163" s="1"/>
  <c r="K44" i="150"/>
  <c r="F45" i="163" s="1"/>
  <c r="M44" i="150"/>
  <c r="H45" i="163" s="1"/>
  <c r="J44" i="150"/>
  <c r="E45" i="163" s="1"/>
  <c r="L44" i="150"/>
  <c r="G45" i="163" s="1"/>
  <c r="N44" i="150"/>
  <c r="L69"/>
  <c r="G86" i="163" s="1"/>
  <c r="K69" i="150"/>
  <c r="F86" i="163" s="1"/>
  <c r="J69" i="150"/>
  <c r="E86" i="163" s="1"/>
  <c r="L71" i="150"/>
  <c r="G88" i="163" s="1"/>
  <c r="N71" i="150"/>
  <c r="K71"/>
  <c r="F88" i="163" s="1"/>
  <c r="M71" i="150"/>
  <c r="H88" i="163" s="1"/>
  <c r="J71" i="150"/>
  <c r="E88" i="163" s="1"/>
  <c r="K77" i="150"/>
  <c r="F94" i="163" s="1"/>
  <c r="L79" i="150"/>
  <c r="G96" i="163" s="1"/>
  <c r="N79" i="150"/>
  <c r="K79"/>
  <c r="F96" i="163" s="1"/>
  <c r="M79" i="150"/>
  <c r="H96" i="163" s="1"/>
  <c r="J79" i="150"/>
  <c r="E96" i="163" s="1"/>
  <c r="K84" i="150"/>
  <c r="F101" i="163" s="1"/>
  <c r="M84" i="150"/>
  <c r="H101" i="163" s="1"/>
  <c r="J84" i="150"/>
  <c r="E101" i="163" s="1"/>
  <c r="L84" i="150"/>
  <c r="G101" i="163" s="1"/>
  <c r="N84" i="150"/>
  <c r="L834" i="156"/>
  <c r="J87" i="150"/>
  <c r="E108" i="163" s="1"/>
  <c r="L846" i="156"/>
  <c r="J89" i="150"/>
  <c r="E110" i="163" s="1"/>
  <c r="L100" i="150"/>
  <c r="G150" i="163" s="1"/>
  <c r="N100" i="150"/>
  <c r="K100"/>
  <c r="F150" i="163" s="1"/>
  <c r="M100" i="150"/>
  <c r="H150" i="163" s="1"/>
  <c r="J100" i="150"/>
  <c r="E150" i="163" s="1"/>
  <c r="N103" i="150"/>
  <c r="L1005" i="156"/>
  <c r="J104" i="150"/>
  <c r="E139" i="163" s="1"/>
  <c r="N107" i="150"/>
  <c r="K112"/>
  <c r="F143" i="163" s="1"/>
  <c r="M112" i="150"/>
  <c r="H143" i="163" s="1"/>
  <c r="J112" i="150"/>
  <c r="E143" i="163" s="1"/>
  <c r="L112" i="150"/>
  <c r="G143" i="163" s="1"/>
  <c r="N112" i="150"/>
  <c r="L113"/>
  <c r="G144" i="163" s="1"/>
  <c r="N113" i="150"/>
  <c r="K113"/>
  <c r="F144" i="163" s="1"/>
  <c r="M113" i="150"/>
  <c r="H144" i="163" s="1"/>
  <c r="J113" i="150"/>
  <c r="E144" i="163" s="1"/>
  <c r="K114" i="150"/>
  <c r="F145" i="163" s="1"/>
  <c r="M114" i="150"/>
  <c r="H145" i="163" s="1"/>
  <c r="J114" i="150"/>
  <c r="E145" i="163" s="1"/>
  <c r="L114" i="150"/>
  <c r="G145" i="163" s="1"/>
  <c r="N114" i="150"/>
  <c r="L115"/>
  <c r="G158" i="163" s="1"/>
  <c r="N115" i="150"/>
  <c r="K115"/>
  <c r="F158" i="163" s="1"/>
  <c r="M115" i="150"/>
  <c r="H158" i="163" s="1"/>
  <c r="J115" i="150"/>
  <c r="E158" i="163" s="1"/>
  <c r="L124" i="150"/>
  <c r="G169" i="163" s="1"/>
  <c r="N124" i="150"/>
  <c r="K124"/>
  <c r="F169" i="163" s="1"/>
  <c r="M124" i="150"/>
  <c r="H169" i="163" s="1"/>
  <c r="J124" i="150"/>
  <c r="E169" i="163" s="1"/>
  <c r="K131" i="150"/>
  <c r="F170" i="163" s="1"/>
  <c r="M131" i="150"/>
  <c r="H170" i="163" s="1"/>
  <c r="J131" i="150"/>
  <c r="E170" i="163" s="1"/>
  <c r="L131" i="150"/>
  <c r="G170" i="163" s="1"/>
  <c r="N131" i="150"/>
  <c r="L1212" i="156"/>
  <c r="J133" i="150"/>
  <c r="E180" i="163" s="1"/>
  <c r="L135" i="150"/>
  <c r="G212" i="163" s="1"/>
  <c r="N135" i="150"/>
  <c r="K135"/>
  <c r="F212" i="163" s="1"/>
  <c r="M135" i="150"/>
  <c r="H212" i="163" s="1"/>
  <c r="J135" i="150"/>
  <c r="E212" i="163" s="1"/>
  <c r="J137" i="150"/>
  <c r="E171" i="163" s="1"/>
  <c r="L1273" i="156"/>
  <c r="J139" i="150"/>
  <c r="E182" i="163" s="1"/>
  <c r="L1286" i="156"/>
  <c r="J141" i="150"/>
  <c r="E184" i="163" s="1"/>
  <c r="L1304" i="156"/>
  <c r="J143" i="150"/>
  <c r="E186" i="163" s="1"/>
  <c r="L1317" i="156"/>
  <c r="J145" i="150"/>
  <c r="E187" i="163" s="1"/>
  <c r="K6" i="150"/>
  <c r="F7" i="163" s="1"/>
  <c r="L3" i="156"/>
  <c r="J5" i="164" s="1"/>
  <c r="L95" i="156"/>
  <c r="L153"/>
  <c r="L216"/>
  <c r="K13" i="165" s="1"/>
  <c r="M13" s="1"/>
  <c r="N13" s="1"/>
  <c r="L258" i="156"/>
  <c r="L285"/>
  <c r="L355"/>
  <c r="L412"/>
  <c r="J35" i="164" s="1"/>
  <c r="M35" s="1"/>
  <c r="N35" s="1"/>
  <c r="L494" i="156"/>
  <c r="L514"/>
  <c r="L527"/>
  <c r="K54" i="165" s="1"/>
  <c r="M54" s="1"/>
  <c r="N54" s="1"/>
  <c r="L551" i="156"/>
  <c r="L626"/>
  <c r="L729"/>
  <c r="L795"/>
  <c r="L840"/>
  <c r="L852"/>
  <c r="L874"/>
  <c r="L889"/>
  <c r="J94" i="164" s="1"/>
  <c r="M94" s="1"/>
  <c r="N94" s="1"/>
  <c r="L925" i="156"/>
  <c r="L1019"/>
  <c r="L1097"/>
  <c r="K117" i="165" s="1"/>
  <c r="M117" s="1"/>
  <c r="N117" s="1"/>
  <c r="L1154" i="156"/>
  <c r="J120" i="164" s="1"/>
  <c r="L1193" i="156"/>
  <c r="L1205"/>
  <c r="L1267"/>
  <c r="L1311"/>
  <c r="L1323"/>
  <c r="L1350"/>
  <c r="L1386"/>
  <c r="L1398"/>
  <c r="L1484"/>
  <c r="L1496"/>
  <c r="L406"/>
  <c r="L1110"/>
  <c r="L1218"/>
  <c r="J134" i="164" s="1"/>
  <c r="M134" s="1"/>
  <c r="N134" s="1"/>
  <c r="N1536" i="156"/>
  <c r="F191" i="163" l="1"/>
  <c r="D25" i="174" s="1"/>
  <c r="Q44" i="150"/>
  <c r="I45" i="163"/>
  <c r="Q132" i="150"/>
  <c r="I211" i="163"/>
  <c r="J211" s="1"/>
  <c r="Q145" i="150"/>
  <c r="I187" i="163"/>
  <c r="O85" i="150"/>
  <c r="G102" i="163"/>
  <c r="J102" s="1"/>
  <c r="Q129" i="150"/>
  <c r="I209" i="163"/>
  <c r="O110" i="150"/>
  <c r="F156" i="163"/>
  <c r="J156" s="1"/>
  <c r="Q115" i="150"/>
  <c r="I158" i="163"/>
  <c r="Q131" i="150"/>
  <c r="I170" i="163"/>
  <c r="J170" s="1"/>
  <c r="Q38" i="150"/>
  <c r="I57" i="163"/>
  <c r="Q36" i="150"/>
  <c r="I42" i="163"/>
  <c r="J42" s="1"/>
  <c r="Q39" i="150"/>
  <c r="I58" i="163"/>
  <c r="Q153" i="150"/>
  <c r="I221" i="163"/>
  <c r="J221" s="1"/>
  <c r="Q151" i="150"/>
  <c r="I219" i="163"/>
  <c r="Q141" i="150"/>
  <c r="I184" i="163"/>
  <c r="J184" s="1"/>
  <c r="Q137" i="150"/>
  <c r="I171" i="163"/>
  <c r="E164"/>
  <c r="C23" i="174" s="1"/>
  <c r="O116" i="150"/>
  <c r="F159" i="163"/>
  <c r="J159" s="1"/>
  <c r="Q87" i="150"/>
  <c r="I108" i="163"/>
  <c r="Q156" i="150"/>
  <c r="I194" i="163"/>
  <c r="J194" s="1"/>
  <c r="Q152" i="150"/>
  <c r="I220" i="163"/>
  <c r="Q146" i="150"/>
  <c r="I214" i="163"/>
  <c r="J214" s="1"/>
  <c r="Q126" i="150"/>
  <c r="I177" i="163"/>
  <c r="Q123" i="150"/>
  <c r="I168" i="163"/>
  <c r="Q88" i="150"/>
  <c r="I109" i="163"/>
  <c r="J158"/>
  <c r="J219"/>
  <c r="G191"/>
  <c r="E25" i="174" s="1"/>
  <c r="J220" i="163"/>
  <c r="G198"/>
  <c r="E26" i="174" s="1"/>
  <c r="H164" i="163"/>
  <c r="F23" i="174" s="1"/>
  <c r="Q122" i="150"/>
  <c r="I167" i="163"/>
  <c r="E198"/>
  <c r="C26" i="174" s="1"/>
  <c r="Q136" i="150"/>
  <c r="I213" i="163"/>
  <c r="Q100" i="150"/>
  <c r="I150" i="163"/>
  <c r="Q135" i="150"/>
  <c r="I212" i="163"/>
  <c r="Q124" i="150"/>
  <c r="I169" i="163"/>
  <c r="J169" s="1"/>
  <c r="Q114" i="150"/>
  <c r="I145" i="163"/>
  <c r="Q113" i="150"/>
  <c r="I144" i="163"/>
  <c r="J144" s="1"/>
  <c r="Q84" i="150"/>
  <c r="I101" i="163"/>
  <c r="J101" s="1"/>
  <c r="Q79" i="150"/>
  <c r="I96" i="163"/>
  <c r="J86"/>
  <c r="I52"/>
  <c r="G13" i="174" s="1"/>
  <c r="J55" i="163"/>
  <c r="Q78" i="150"/>
  <c r="I95" i="163"/>
  <c r="J95" s="1"/>
  <c r="Q43" i="150"/>
  <c r="I44" i="163"/>
  <c r="Q139" i="150"/>
  <c r="I182" i="163"/>
  <c r="J182" s="1"/>
  <c r="Q155" i="150"/>
  <c r="I193" i="163"/>
  <c r="Q147" i="150"/>
  <c r="I215" i="163"/>
  <c r="J215" s="1"/>
  <c r="Q104" i="150"/>
  <c r="I139" i="163"/>
  <c r="O37" i="150"/>
  <c r="G56" i="163"/>
  <c r="J56" s="1"/>
  <c r="Q158" i="150"/>
  <c r="I222" i="163"/>
  <c r="J222" s="1"/>
  <c r="E191"/>
  <c r="C25" i="174" s="1"/>
  <c r="Q150" i="150"/>
  <c r="I218" i="163"/>
  <c r="J218" s="1"/>
  <c r="Q140" i="150"/>
  <c r="I183" i="163"/>
  <c r="J183" s="1"/>
  <c r="Q90" i="150"/>
  <c r="I111" i="163"/>
  <c r="J111" s="1"/>
  <c r="J80"/>
  <c r="G78"/>
  <c r="E21" i="174" s="1"/>
  <c r="J58" i="163"/>
  <c r="J213"/>
  <c r="J212"/>
  <c r="J145"/>
  <c r="J187"/>
  <c r="J171"/>
  <c r="J96"/>
  <c r="J45"/>
  <c r="J57"/>
  <c r="H191"/>
  <c r="F25" i="174" s="1"/>
  <c r="J209" i="163"/>
  <c r="J217"/>
  <c r="F164"/>
  <c r="D23" i="174" s="1"/>
  <c r="Q107" i="150"/>
  <c r="I155" i="163"/>
  <c r="Q149" i="150"/>
  <c r="I217" i="163"/>
  <c r="Q159" i="150"/>
  <c r="I223" i="163"/>
  <c r="J223" s="1"/>
  <c r="Q142" i="150"/>
  <c r="I185" i="163"/>
  <c r="J185" s="1"/>
  <c r="Q112" i="150"/>
  <c r="I143" i="163"/>
  <c r="J143" s="1"/>
  <c r="Q103" i="150"/>
  <c r="I153" i="163"/>
  <c r="J108"/>
  <c r="Q71" i="150"/>
  <c r="I88" i="163"/>
  <c r="J88" s="1"/>
  <c r="Q105" i="150"/>
  <c r="I140" i="163"/>
  <c r="J140" s="1"/>
  <c r="Q157" i="150"/>
  <c r="I200" i="163"/>
  <c r="J200" s="1"/>
  <c r="Q143" i="150"/>
  <c r="I186" i="163"/>
  <c r="J186" s="1"/>
  <c r="Q133" i="150"/>
  <c r="I180" i="163"/>
  <c r="J180" s="1"/>
  <c r="Q148" i="150"/>
  <c r="I216" i="163"/>
  <c r="J216" s="1"/>
  <c r="Q89" i="150"/>
  <c r="I110" i="163"/>
  <c r="J110" s="1"/>
  <c r="O15" i="150"/>
  <c r="E16" i="163"/>
  <c r="J16" s="1"/>
  <c r="Q154" i="150"/>
  <c r="I192" i="163"/>
  <c r="Q144" i="150"/>
  <c r="I199" i="163"/>
  <c r="Q138" i="150"/>
  <c r="I172" i="163"/>
  <c r="J172" s="1"/>
  <c r="J177"/>
  <c r="Q108" i="150"/>
  <c r="I141" i="163"/>
  <c r="J141" s="1"/>
  <c r="Q99" i="150"/>
  <c r="I116" i="163"/>
  <c r="J116" s="1"/>
  <c r="Q70" i="150"/>
  <c r="I87" i="163"/>
  <c r="Q65" i="150"/>
  <c r="I123" i="163"/>
  <c r="O45" i="150"/>
  <c r="G46" i="163"/>
  <c r="J46" s="1"/>
  <c r="O14" i="150"/>
  <c r="E15" i="163"/>
  <c r="J15" s="1"/>
  <c r="F78"/>
  <c r="D21" i="174" s="1"/>
  <c r="J79" i="163"/>
  <c r="J78" s="1"/>
  <c r="H21" i="174" s="1"/>
  <c r="J90" i="163"/>
  <c r="J193"/>
  <c r="J168"/>
  <c r="J109"/>
  <c r="L18" i="150"/>
  <c r="G19" i="163" s="1"/>
  <c r="K107" i="150"/>
  <c r="F155" i="163" s="1"/>
  <c r="L24" i="150"/>
  <c r="J107" i="158"/>
  <c r="M107"/>
  <c r="L103"/>
  <c r="O83" i="157"/>
  <c r="M43"/>
  <c r="O25"/>
  <c r="P25" s="1"/>
  <c r="W25" s="1"/>
  <c r="L107" i="166"/>
  <c r="M107" s="1"/>
  <c r="T107" s="1"/>
  <c r="M107" i="150"/>
  <c r="H155" i="163" s="1"/>
  <c r="K103" i="150"/>
  <c r="F153" i="163" s="1"/>
  <c r="N83" i="150"/>
  <c r="K107" i="158"/>
  <c r="N107" i="157"/>
  <c r="J103" i="158"/>
  <c r="L83"/>
  <c r="L43"/>
  <c r="M24" i="157"/>
  <c r="P24" s="1"/>
  <c r="Q24" s="1"/>
  <c r="K107" i="165"/>
  <c r="M107" s="1"/>
  <c r="T107" s="1"/>
  <c r="L103" i="166"/>
  <c r="M103" s="1"/>
  <c r="N103" s="1"/>
  <c r="L83"/>
  <c r="M83" s="1"/>
  <c r="N83" s="1"/>
  <c r="L25"/>
  <c r="M25" s="1"/>
  <c r="T25" s="1"/>
  <c r="J107" i="150"/>
  <c r="E155" i="163" s="1"/>
  <c r="L107" i="150"/>
  <c r="G155" i="163" s="1"/>
  <c r="L103" i="150"/>
  <c r="G153" i="163" s="1"/>
  <c r="K83" i="150"/>
  <c r="F100" i="163" s="1"/>
  <c r="J77" i="150"/>
  <c r="K43"/>
  <c r="F44" i="163" s="1"/>
  <c r="N107" i="158"/>
  <c r="M107" i="157"/>
  <c r="P107" s="1"/>
  <c r="W107" s="1"/>
  <c r="N103"/>
  <c r="J83" i="158"/>
  <c r="J77"/>
  <c r="O77" s="1"/>
  <c r="P77" s="1"/>
  <c r="O66" i="157"/>
  <c r="J43" i="158"/>
  <c r="L24"/>
  <c r="O24" s="1"/>
  <c r="P24" s="1"/>
  <c r="K103" i="165"/>
  <c r="M103" s="1"/>
  <c r="N103" s="1"/>
  <c r="K83"/>
  <c r="M83" s="1"/>
  <c r="N83" s="1"/>
  <c r="L43" i="166"/>
  <c r="M43" s="1"/>
  <c r="N43" s="1"/>
  <c r="J29" i="150"/>
  <c r="E35" i="163" s="1"/>
  <c r="L29" i="150"/>
  <c r="G35" i="163" s="1"/>
  <c r="M58" i="158"/>
  <c r="L93" i="150"/>
  <c r="G112" i="163" s="1"/>
  <c r="N57" i="150"/>
  <c r="N29"/>
  <c r="N127" i="158"/>
  <c r="M111" i="150"/>
  <c r="J58" i="158"/>
  <c r="K6"/>
  <c r="K66"/>
  <c r="K58" i="150"/>
  <c r="F122" i="163" s="1"/>
  <c r="L66" i="150"/>
  <c r="G124" i="163" s="1"/>
  <c r="N93" i="158"/>
  <c r="L64" i="150"/>
  <c r="L93" i="166"/>
  <c r="M93" s="1"/>
  <c r="N93" s="1"/>
  <c r="J58" i="164"/>
  <c r="M58" s="1"/>
  <c r="N58" s="1"/>
  <c r="K106" i="150"/>
  <c r="F154" i="163" s="1"/>
  <c r="O106" i="157"/>
  <c r="K57" i="158"/>
  <c r="K48"/>
  <c r="K93" i="165"/>
  <c r="M93" s="1"/>
  <c r="N93" s="1"/>
  <c r="L9" i="150"/>
  <c r="G10" i="163" s="1"/>
  <c r="N106" i="150"/>
  <c r="L57"/>
  <c r="G121" i="163" s="1"/>
  <c r="L42" i="150"/>
  <c r="G27" i="163" s="1"/>
  <c r="M32" i="150"/>
  <c r="H38" i="163" s="1"/>
  <c r="M119" i="158"/>
  <c r="O119" s="1"/>
  <c r="P119" s="1"/>
  <c r="K110"/>
  <c r="O110" s="1"/>
  <c r="P110" s="1"/>
  <c r="L106"/>
  <c r="K93"/>
  <c r="N57"/>
  <c r="M50" i="150"/>
  <c r="L106" i="166"/>
  <c r="M106" s="1"/>
  <c r="T106" s="1"/>
  <c r="K57" i="165"/>
  <c r="M57" s="1"/>
  <c r="N57" s="1"/>
  <c r="L119" i="150"/>
  <c r="G207" i="163" s="1"/>
  <c r="M93" i="150"/>
  <c r="H112" i="163" s="1"/>
  <c r="K48" i="150"/>
  <c r="N55"/>
  <c r="M93" i="157"/>
  <c r="M106" i="150"/>
  <c r="H154" i="163" s="1"/>
  <c r="J93" i="150"/>
  <c r="E112" i="163" s="1"/>
  <c r="K57" i="150"/>
  <c r="F121" i="163" s="1"/>
  <c r="M106" i="157"/>
  <c r="N93"/>
  <c r="L75" i="150"/>
  <c r="O57" i="157"/>
  <c r="J48" i="158"/>
  <c r="J57" i="164"/>
  <c r="M57" s="1"/>
  <c r="N57" s="1"/>
  <c r="N7" i="150"/>
  <c r="K42"/>
  <c r="F27" i="163" s="1"/>
  <c r="J32" i="150"/>
  <c r="E38" i="163" s="1"/>
  <c r="L55" i="150"/>
  <c r="G71" i="163" s="1"/>
  <c r="K66" i="150"/>
  <c r="F124" i="163" s="1"/>
  <c r="O109" i="157"/>
  <c r="N66" i="158"/>
  <c r="M66" i="157"/>
  <c r="K58" i="158"/>
  <c r="N58" i="157"/>
  <c r="M109" i="150"/>
  <c r="H142" i="163" s="1"/>
  <c r="H138" s="1"/>
  <c r="F8" i="174" s="1"/>
  <c r="J106" i="150"/>
  <c r="E154" i="163" s="1"/>
  <c r="N93" i="150"/>
  <c r="J58"/>
  <c r="E122" i="163" s="1"/>
  <c r="L58" i="150"/>
  <c r="G122" i="163" s="1"/>
  <c r="M57" i="150"/>
  <c r="H121" i="163" s="1"/>
  <c r="M42" i="150"/>
  <c r="H27" i="163" s="1"/>
  <c r="N32" i="150"/>
  <c r="M66"/>
  <c r="H124" i="163" s="1"/>
  <c r="M119" i="157"/>
  <c r="N111"/>
  <c r="P111" s="1"/>
  <c r="Q111" s="1"/>
  <c r="N109" i="158"/>
  <c r="M106"/>
  <c r="N106" i="157"/>
  <c r="L93" i="158"/>
  <c r="J93"/>
  <c r="L66"/>
  <c r="N66" i="157"/>
  <c r="M64"/>
  <c r="P64" s="1"/>
  <c r="W64" s="1"/>
  <c r="N58" i="158"/>
  <c r="O58" i="157"/>
  <c r="J57" i="158"/>
  <c r="M57" i="157"/>
  <c r="M7"/>
  <c r="K119" i="165"/>
  <c r="M119" s="1"/>
  <c r="N119" s="1"/>
  <c r="J106" i="164"/>
  <c r="M106" s="1"/>
  <c r="T106" s="1"/>
  <c r="J93"/>
  <c r="M93" s="1"/>
  <c r="N93" s="1"/>
  <c r="L58" i="166"/>
  <c r="M58" s="1"/>
  <c r="N58" s="1"/>
  <c r="M58" i="150"/>
  <c r="H122" i="163" s="1"/>
  <c r="N42" i="150"/>
  <c r="L32"/>
  <c r="G38" i="163" s="1"/>
  <c r="N66" i="150"/>
  <c r="M81" i="157"/>
  <c r="P81" s="1"/>
  <c r="Q81" s="1"/>
  <c r="M119" i="150"/>
  <c r="H207" i="163" s="1"/>
  <c r="L106" i="150"/>
  <c r="G154" i="163" s="1"/>
  <c r="K93" i="150"/>
  <c r="F112" i="163" s="1"/>
  <c r="N58" i="150"/>
  <c r="J57"/>
  <c r="E121" i="163" s="1"/>
  <c r="K65" i="150"/>
  <c r="F123" i="163" s="1"/>
  <c r="J127" i="150"/>
  <c r="E178" i="163" s="1"/>
  <c r="J66" i="150"/>
  <c r="E124" i="163" s="1"/>
  <c r="O127" i="157"/>
  <c r="N119"/>
  <c r="M111" i="158"/>
  <c r="O111" s="1"/>
  <c r="P111" s="1"/>
  <c r="K106"/>
  <c r="N95" i="157"/>
  <c r="P95" s="1"/>
  <c r="W95" s="1"/>
  <c r="M93" i="158"/>
  <c r="J66"/>
  <c r="M66"/>
  <c r="L64"/>
  <c r="O64" s="1"/>
  <c r="V64" s="1"/>
  <c r="L58"/>
  <c r="M58" i="157"/>
  <c r="M57" i="158"/>
  <c r="N57" i="157"/>
  <c r="M46"/>
  <c r="P46" s="1"/>
  <c r="Q46" s="1"/>
  <c r="L7" i="158"/>
  <c r="O7" s="1"/>
  <c r="V7" s="1"/>
  <c r="O59" i="150"/>
  <c r="O59" i="158"/>
  <c r="P59" s="1"/>
  <c r="P73" i="157"/>
  <c r="Q73" s="1"/>
  <c r="J66" i="164"/>
  <c r="M66" s="1"/>
  <c r="N66" s="1"/>
  <c r="L127" i="166"/>
  <c r="M127" s="1"/>
  <c r="R127" s="1"/>
  <c r="J109" i="164"/>
  <c r="M109" s="1"/>
  <c r="P109" s="1"/>
  <c r="J74"/>
  <c r="M74" s="1"/>
  <c r="N74" s="1"/>
  <c r="K66" i="165"/>
  <c r="M66" s="1"/>
  <c r="N66" s="1"/>
  <c r="N6" i="158"/>
  <c r="N6" i="150"/>
  <c r="P153" i="157"/>
  <c r="S153" s="1"/>
  <c r="K109" i="150"/>
  <c r="F142" i="163" s="1"/>
  <c r="F138" s="1"/>
  <c r="D8" i="174" s="1"/>
  <c r="M127" i="150"/>
  <c r="H178" i="163" s="1"/>
  <c r="O137" i="158"/>
  <c r="V137" s="1"/>
  <c r="K127"/>
  <c r="N127" i="157"/>
  <c r="K109" i="158"/>
  <c r="N109" i="157"/>
  <c r="M95" i="150"/>
  <c r="L81"/>
  <c r="L46"/>
  <c r="O126"/>
  <c r="K109" i="165"/>
  <c r="M109" s="1"/>
  <c r="R109" s="1"/>
  <c r="J16" i="150"/>
  <c r="E17" i="163" s="1"/>
  <c r="N127" i="150"/>
  <c r="K127"/>
  <c r="F178" i="163" s="1"/>
  <c r="J127" i="158"/>
  <c r="M127"/>
  <c r="J109"/>
  <c r="M109"/>
  <c r="J127" i="164"/>
  <c r="M127" s="1"/>
  <c r="R127" s="1"/>
  <c r="L109" i="166"/>
  <c r="M109" s="1"/>
  <c r="P109" s="1"/>
  <c r="N109" i="150"/>
  <c r="J109"/>
  <c r="E142" i="163" s="1"/>
  <c r="L109" i="150"/>
  <c r="G142" i="163" s="1"/>
  <c r="G138" s="1"/>
  <c r="E8" i="174" s="1"/>
  <c r="L127" i="150"/>
  <c r="G178" i="163" s="1"/>
  <c r="L127" i="158"/>
  <c r="M127" i="157"/>
  <c r="L109" i="158"/>
  <c r="M95"/>
  <c r="O95" s="1"/>
  <c r="V95" s="1"/>
  <c r="L81"/>
  <c r="O81" s="1"/>
  <c r="P81" s="1"/>
  <c r="L46"/>
  <c r="O46" s="1"/>
  <c r="P46" s="1"/>
  <c r="M6" i="150"/>
  <c r="H7" i="163" s="1"/>
  <c r="N74" i="150"/>
  <c r="K74"/>
  <c r="F91" i="163" s="1"/>
  <c r="K98" i="158"/>
  <c r="M75" i="157"/>
  <c r="P75" s="1"/>
  <c r="O74"/>
  <c r="L6" i="158"/>
  <c r="K18" i="150"/>
  <c r="F19" i="163" s="1"/>
  <c r="L7" i="150"/>
  <c r="J6"/>
  <c r="E7" i="163" s="1"/>
  <c r="M103" i="150"/>
  <c r="H153" i="163" s="1"/>
  <c r="K98" i="150"/>
  <c r="F115" i="163" s="1"/>
  <c r="M83" i="150"/>
  <c r="H100" i="163" s="1"/>
  <c r="M22" i="150"/>
  <c r="J65"/>
  <c r="E123" i="163" s="1"/>
  <c r="L65" i="150"/>
  <c r="G123" i="163" s="1"/>
  <c r="M74" i="150"/>
  <c r="H91" i="163" s="1"/>
  <c r="M43" i="150"/>
  <c r="H44" i="163" s="1"/>
  <c r="M103" i="158"/>
  <c r="O103" i="157"/>
  <c r="M98" i="158"/>
  <c r="M83"/>
  <c r="M83" i="157"/>
  <c r="L75" i="158"/>
  <c r="O75" s="1"/>
  <c r="V75" s="1"/>
  <c r="L74"/>
  <c r="M74" i="157"/>
  <c r="M43" i="158"/>
  <c r="N43" i="157"/>
  <c r="O7"/>
  <c r="J6" i="158"/>
  <c r="O6" i="157"/>
  <c r="J26" i="150"/>
  <c r="J103" i="164"/>
  <c r="M103" s="1"/>
  <c r="N103" s="1"/>
  <c r="J83"/>
  <c r="M83" s="1"/>
  <c r="N83" s="1"/>
  <c r="L74" i="166"/>
  <c r="M74" s="1"/>
  <c r="N74" s="1"/>
  <c r="J43" i="164"/>
  <c r="M43" s="1"/>
  <c r="N43" s="1"/>
  <c r="M65" i="150"/>
  <c r="H123" i="163" s="1"/>
  <c r="N74" i="158"/>
  <c r="N6" i="157"/>
  <c r="P6" s="1"/>
  <c r="Q6" s="1"/>
  <c r="J18" i="150"/>
  <c r="L6"/>
  <c r="G7" i="163" s="1"/>
  <c r="J103" i="150"/>
  <c r="E153" i="163" s="1"/>
  <c r="M98" i="150"/>
  <c r="H115" i="163" s="1"/>
  <c r="J83" i="150"/>
  <c r="E100" i="163" s="1"/>
  <c r="L83" i="150"/>
  <c r="G100" i="163" s="1"/>
  <c r="J74" i="150"/>
  <c r="E91" i="163" s="1"/>
  <c r="J43" i="150"/>
  <c r="E44" i="163" s="1"/>
  <c r="L43" i="150"/>
  <c r="G44" i="163" s="1"/>
  <c r="P149" i="157"/>
  <c r="Q149" s="1"/>
  <c r="O146" i="150"/>
  <c r="O141" i="158"/>
  <c r="V141" s="1"/>
  <c r="P136" i="157"/>
  <c r="Q136" s="1"/>
  <c r="K103" i="158"/>
  <c r="O100"/>
  <c r="V100" s="1"/>
  <c r="O89"/>
  <c r="S89" s="1"/>
  <c r="P89" i="157"/>
  <c r="T89" s="1"/>
  <c r="O84" i="158"/>
  <c r="P84" s="1"/>
  <c r="K83"/>
  <c r="J74"/>
  <c r="M74"/>
  <c r="O44"/>
  <c r="T44" s="1"/>
  <c r="K43"/>
  <c r="M6"/>
  <c r="O144" i="150"/>
  <c r="O140"/>
  <c r="O138"/>
  <c r="P132" i="157"/>
  <c r="R132" s="1"/>
  <c r="O108" i="150"/>
  <c r="O90"/>
  <c r="O89"/>
  <c r="O129"/>
  <c r="O88"/>
  <c r="O99"/>
  <c r="O87"/>
  <c r="O70"/>
  <c r="P151" i="157"/>
  <c r="W151" s="1"/>
  <c r="P147"/>
  <c r="W147" s="1"/>
  <c r="O145" i="158"/>
  <c r="P145" s="1"/>
  <c r="O142" i="150"/>
  <c r="P84" i="157"/>
  <c r="Q84" s="1"/>
  <c r="P71"/>
  <c r="Q71" s="1"/>
  <c r="O69" i="158"/>
  <c r="P69" s="1"/>
  <c r="P159" i="157"/>
  <c r="S159" s="1"/>
  <c r="T78" i="158"/>
  <c r="O143" i="150"/>
  <c r="O145"/>
  <c r="O141"/>
  <c r="O137"/>
  <c r="O104"/>
  <c r="L92" i="166"/>
  <c r="M92" s="1"/>
  <c r="N92" s="1"/>
  <c r="K92" i="165"/>
  <c r="M92" s="1"/>
  <c r="N92" s="1"/>
  <c r="J92" i="164"/>
  <c r="M92" s="1"/>
  <c r="N92" s="1"/>
  <c r="J91"/>
  <c r="M91" s="1"/>
  <c r="T91" s="1"/>
  <c r="L56" i="166"/>
  <c r="M56" s="1"/>
  <c r="N56" s="1"/>
  <c r="K56" i="165"/>
  <c r="M56" s="1"/>
  <c r="N56" s="1"/>
  <c r="J56" i="164"/>
  <c r="M56" s="1"/>
  <c r="N56" s="1"/>
  <c r="L51" i="166"/>
  <c r="M51" s="1"/>
  <c r="K51" i="165"/>
  <c r="M51" s="1"/>
  <c r="J51" i="164"/>
  <c r="M51" s="1"/>
  <c r="M5"/>
  <c r="L130" i="166"/>
  <c r="M130" s="1"/>
  <c r="R130" s="1"/>
  <c r="K130" i="165"/>
  <c r="M130" s="1"/>
  <c r="R130" s="1"/>
  <c r="J130" i="164"/>
  <c r="M130" s="1"/>
  <c r="R130" s="1"/>
  <c r="O120"/>
  <c r="M120"/>
  <c r="N120"/>
  <c r="L27" i="166"/>
  <c r="M27" s="1"/>
  <c r="N27" s="1"/>
  <c r="K27" i="165"/>
  <c r="M27" s="1"/>
  <c r="N27" s="1"/>
  <c r="J27" i="164"/>
  <c r="M27" s="1"/>
  <c r="N27" s="1"/>
  <c r="L8" i="166"/>
  <c r="K8" i="165"/>
  <c r="M8" s="1"/>
  <c r="N8" s="1"/>
  <c r="J8" i="164"/>
  <c r="M8" s="1"/>
  <c r="N8" s="1"/>
  <c r="L9" i="166"/>
  <c r="M9" s="1"/>
  <c r="N9" s="1"/>
  <c r="K9" i="165"/>
  <c r="M9" s="1"/>
  <c r="N9" s="1"/>
  <c r="J9" i="164"/>
  <c r="M9" s="1"/>
  <c r="N9" s="1"/>
  <c r="K76" i="165"/>
  <c r="M76" s="1"/>
  <c r="T76" s="1"/>
  <c r="J76" i="164"/>
  <c r="M76" s="1"/>
  <c r="T76" s="1"/>
  <c r="L62" i="166"/>
  <c r="M62" s="1"/>
  <c r="R62" s="1"/>
  <c r="K62" i="165"/>
  <c r="M62" s="1"/>
  <c r="R62" s="1"/>
  <c r="J62" i="164"/>
  <c r="M62" s="1"/>
  <c r="R62" s="1"/>
  <c r="J28"/>
  <c r="M28" s="1"/>
  <c r="N28" s="1"/>
  <c r="K28" i="165"/>
  <c r="M28" s="1"/>
  <c r="N28" s="1"/>
  <c r="L16" i="166"/>
  <c r="M16" s="1"/>
  <c r="N16" s="1"/>
  <c r="K16" i="165"/>
  <c r="M16" s="1"/>
  <c r="N16" s="1"/>
  <c r="J16" i="164"/>
  <c r="M16" s="1"/>
  <c r="N16" s="1"/>
  <c r="O143" i="158"/>
  <c r="T143" s="1"/>
  <c r="P131" i="157"/>
  <c r="U131" s="1"/>
  <c r="O129" i="158"/>
  <c r="P129" s="1"/>
  <c r="P114" i="157"/>
  <c r="W114" s="1"/>
  <c r="P112"/>
  <c r="S112" s="1"/>
  <c r="O104" i="158"/>
  <c r="T104" s="1"/>
  <c r="O99"/>
  <c r="T99" s="1"/>
  <c r="O87"/>
  <c r="S87" s="1"/>
  <c r="P87" i="157"/>
  <c r="T87" s="1"/>
  <c r="O70" i="158"/>
  <c r="P70" s="1"/>
  <c r="P105" i="157"/>
  <c r="W105" s="1"/>
  <c r="L65" i="166"/>
  <c r="M65" s="1"/>
  <c r="N65" s="1"/>
  <c r="K65" i="165"/>
  <c r="M65" s="1"/>
  <c r="N65" s="1"/>
  <c r="J65" i="164"/>
  <c r="M65" s="1"/>
  <c r="N65" s="1"/>
  <c r="L29" i="166"/>
  <c r="M29" s="1"/>
  <c r="T29" s="1"/>
  <c r="K29" i="165"/>
  <c r="M29" s="1"/>
  <c r="T29" s="1"/>
  <c r="J29" i="164"/>
  <c r="M29" s="1"/>
  <c r="T29" s="1"/>
  <c r="K22" i="165"/>
  <c r="M22" s="1"/>
  <c r="T22" s="1"/>
  <c r="J22" i="164"/>
  <c r="M22" s="1"/>
  <c r="T22" s="1"/>
  <c r="T132" i="165"/>
  <c r="P132"/>
  <c r="R132"/>
  <c r="O132"/>
  <c r="Q132"/>
  <c r="N132"/>
  <c r="R78"/>
  <c r="M78"/>
  <c r="L6" i="166"/>
  <c r="M6" s="1"/>
  <c r="N6" s="1"/>
  <c r="K6" i="165"/>
  <c r="J6" i="164"/>
  <c r="M6" s="1"/>
  <c r="N6" s="1"/>
  <c r="N131"/>
  <c r="R131"/>
  <c r="O131"/>
  <c r="Q131"/>
  <c r="P131"/>
  <c r="T131"/>
  <c r="Q131" i="166"/>
  <c r="N131"/>
  <c r="O131"/>
  <c r="R131"/>
  <c r="T131"/>
  <c r="P131"/>
  <c r="N114" i="164"/>
  <c r="O114"/>
  <c r="R114"/>
  <c r="P114"/>
  <c r="T114"/>
  <c r="Q114"/>
  <c r="P114" i="166"/>
  <c r="R114"/>
  <c r="T114"/>
  <c r="Q114"/>
  <c r="N114"/>
  <c r="O114"/>
  <c r="R113" i="165"/>
  <c r="Q113"/>
  <c r="P113"/>
  <c r="T113"/>
  <c r="O113"/>
  <c r="N113"/>
  <c r="Q112" i="164"/>
  <c r="T112"/>
  <c r="R112"/>
  <c r="P112"/>
  <c r="N112"/>
  <c r="O112"/>
  <c r="P112" i="166"/>
  <c r="R112"/>
  <c r="T112"/>
  <c r="Q112"/>
  <c r="N112"/>
  <c r="O112"/>
  <c r="N100" i="165"/>
  <c r="O100"/>
  <c r="Q100"/>
  <c r="R100"/>
  <c r="T100"/>
  <c r="P100"/>
  <c r="L33" i="166"/>
  <c r="M33" s="1"/>
  <c r="N33" s="1"/>
  <c r="K33" i="165"/>
  <c r="M33" s="1"/>
  <c r="N33" s="1"/>
  <c r="J33" i="164"/>
  <c r="M33" s="1"/>
  <c r="N33" s="1"/>
  <c r="L128" i="166"/>
  <c r="M128" s="1"/>
  <c r="N128" s="1"/>
  <c r="K128" i="165"/>
  <c r="M128" s="1"/>
  <c r="N128" s="1"/>
  <c r="J128" i="164"/>
  <c r="M128" s="1"/>
  <c r="N128" s="1"/>
  <c r="L96" i="166"/>
  <c r="M96" s="1"/>
  <c r="T96" s="1"/>
  <c r="K96" i="165"/>
  <c r="M96" s="1"/>
  <c r="T96" s="1"/>
  <c r="J96" i="164"/>
  <c r="M96" s="1"/>
  <c r="T96" s="1"/>
  <c r="L125" i="166"/>
  <c r="M125" s="1"/>
  <c r="K125" i="165"/>
  <c r="M125" s="1"/>
  <c r="J125" i="164"/>
  <c r="M125" s="1"/>
  <c r="L102" i="166"/>
  <c r="M102" s="1"/>
  <c r="K102" i="165"/>
  <c r="M102" s="1"/>
  <c r="J102" i="164"/>
  <c r="M102" s="1"/>
  <c r="L72" i="166"/>
  <c r="M72" s="1"/>
  <c r="N72" s="1"/>
  <c r="K72" i="165"/>
  <c r="M72" s="1"/>
  <c r="N72" s="1"/>
  <c r="J72" i="164"/>
  <c r="M72" s="1"/>
  <c r="N72" s="1"/>
  <c r="L53" i="166"/>
  <c r="M53" s="1"/>
  <c r="N53" s="1"/>
  <c r="J53" i="164"/>
  <c r="M53" s="1"/>
  <c r="N53" s="1"/>
  <c r="K53" i="165"/>
  <c r="M53" s="1"/>
  <c r="N53" s="1"/>
  <c r="L30" i="166"/>
  <c r="M30" s="1"/>
  <c r="N30" s="1"/>
  <c r="J30" i="164"/>
  <c r="M30" s="1"/>
  <c r="N30" s="1"/>
  <c r="K30" i="165"/>
  <c r="M30" s="1"/>
  <c r="N30" s="1"/>
  <c r="O139" i="158"/>
  <c r="V139" s="1"/>
  <c r="L55" i="166"/>
  <c r="M55" s="1"/>
  <c r="N55" s="1"/>
  <c r="J55" i="164"/>
  <c r="M55" s="1"/>
  <c r="N55" s="1"/>
  <c r="L42" i="166"/>
  <c r="M42" s="1"/>
  <c r="N42" s="1"/>
  <c r="J42" i="164"/>
  <c r="M42" s="1"/>
  <c r="N42" s="1"/>
  <c r="K42" i="165"/>
  <c r="M42" s="1"/>
  <c r="N42" s="1"/>
  <c r="L32" i="166"/>
  <c r="M32" s="1"/>
  <c r="N32" s="1"/>
  <c r="K32" i="165"/>
  <c r="M32" s="1"/>
  <c r="N32" s="1"/>
  <c r="J32" i="164"/>
  <c r="M32" s="1"/>
  <c r="N32" s="1"/>
  <c r="T132"/>
  <c r="Q132"/>
  <c r="N132"/>
  <c r="R132"/>
  <c r="P132"/>
  <c r="O132"/>
  <c r="T132" i="166"/>
  <c r="P132"/>
  <c r="R132"/>
  <c r="O132"/>
  <c r="Q132"/>
  <c r="N132"/>
  <c r="R78" i="164"/>
  <c r="M78"/>
  <c r="M78" i="166"/>
  <c r="R78"/>
  <c r="L7"/>
  <c r="M7" s="1"/>
  <c r="T7" s="1"/>
  <c r="J7" i="164"/>
  <c r="M7" s="1"/>
  <c r="T7" s="1"/>
  <c r="R131" i="165"/>
  <c r="T131"/>
  <c r="P131"/>
  <c r="Q131"/>
  <c r="N131"/>
  <c r="O131"/>
  <c r="Q114"/>
  <c r="N114"/>
  <c r="O114"/>
  <c r="P114"/>
  <c r="R114"/>
  <c r="T114"/>
  <c r="N113" i="164"/>
  <c r="Q113"/>
  <c r="P113"/>
  <c r="R113"/>
  <c r="O113"/>
  <c r="T113"/>
  <c r="R113" i="166"/>
  <c r="O113"/>
  <c r="N113"/>
  <c r="Q113"/>
  <c r="P113"/>
  <c r="T113"/>
  <c r="Q112" i="165"/>
  <c r="N112"/>
  <c r="O112"/>
  <c r="P112"/>
  <c r="R112"/>
  <c r="T112"/>
  <c r="T100" i="164"/>
  <c r="N100"/>
  <c r="Q100"/>
  <c r="O100"/>
  <c r="R100"/>
  <c r="P100"/>
  <c r="T100" i="166"/>
  <c r="P100"/>
  <c r="R100"/>
  <c r="O100"/>
  <c r="Q100"/>
  <c r="N100"/>
  <c r="L94" i="150"/>
  <c r="M94" i="157"/>
  <c r="P94" s="1"/>
  <c r="Q94" s="1"/>
  <c r="L94" i="158"/>
  <c r="O94" s="1"/>
  <c r="P94" s="1"/>
  <c r="K86" i="150"/>
  <c r="K86" i="158"/>
  <c r="O86" s="1"/>
  <c r="P86" s="1"/>
  <c r="M54" i="150"/>
  <c r="N54" i="157"/>
  <c r="P54" s="1"/>
  <c r="Q54" s="1"/>
  <c r="M54" i="158"/>
  <c r="O54" s="1"/>
  <c r="P54" s="1"/>
  <c r="N27" i="157"/>
  <c r="O27"/>
  <c r="M27"/>
  <c r="M27" i="158"/>
  <c r="K27"/>
  <c r="N27"/>
  <c r="L27"/>
  <c r="J27"/>
  <c r="K19" i="150"/>
  <c r="K19" i="158"/>
  <c r="O19" s="1"/>
  <c r="P19" s="1"/>
  <c r="O8" i="157"/>
  <c r="M8"/>
  <c r="N8"/>
  <c r="M8" i="158"/>
  <c r="K8"/>
  <c r="N8"/>
  <c r="L8"/>
  <c r="J8"/>
  <c r="L12" i="150"/>
  <c r="M12" i="157"/>
  <c r="P12" s="1"/>
  <c r="W12" s="1"/>
  <c r="L12" i="158"/>
  <c r="O12" s="1"/>
  <c r="V12" s="1"/>
  <c r="N9" i="157"/>
  <c r="O9"/>
  <c r="M9"/>
  <c r="N9" i="158"/>
  <c r="L9"/>
  <c r="J9"/>
  <c r="M9"/>
  <c r="K9"/>
  <c r="J101" i="150"/>
  <c r="J101" i="158"/>
  <c r="O101" s="1"/>
  <c r="V101" s="1"/>
  <c r="M82" i="150"/>
  <c r="N82" i="157"/>
  <c r="P82" s="1"/>
  <c r="Q82" s="1"/>
  <c r="M82" i="158"/>
  <c r="O82" s="1"/>
  <c r="P82" s="1"/>
  <c r="N76" i="157"/>
  <c r="M76"/>
  <c r="M76" i="158"/>
  <c r="L76"/>
  <c r="M68" i="150"/>
  <c r="N68" i="157"/>
  <c r="P68" s="1"/>
  <c r="W68" s="1"/>
  <c r="M68" i="158"/>
  <c r="O68" s="1"/>
  <c r="V68" s="1"/>
  <c r="N62" i="157"/>
  <c r="O62"/>
  <c r="M62"/>
  <c r="M62" i="158"/>
  <c r="K62"/>
  <c r="N62"/>
  <c r="L62"/>
  <c r="J62"/>
  <c r="K52" i="150"/>
  <c r="K52" i="158"/>
  <c r="O52" s="1"/>
  <c r="R52" s="1"/>
  <c r="M28" i="157"/>
  <c r="N28"/>
  <c r="L28" i="158"/>
  <c r="J28"/>
  <c r="M28"/>
  <c r="K28"/>
  <c r="N16" i="150"/>
  <c r="O16" i="157"/>
  <c r="M16"/>
  <c r="N16"/>
  <c r="M16" i="158"/>
  <c r="K16"/>
  <c r="N16"/>
  <c r="L16"/>
  <c r="J16"/>
  <c r="M134" i="157"/>
  <c r="P134" s="1"/>
  <c r="Q134" s="1"/>
  <c r="L134" i="158"/>
  <c r="J134"/>
  <c r="O33" i="157"/>
  <c r="M33"/>
  <c r="N33"/>
  <c r="M33" i="158"/>
  <c r="K33"/>
  <c r="N33"/>
  <c r="L33"/>
  <c r="J33"/>
  <c r="O128" i="157"/>
  <c r="M128"/>
  <c r="N128"/>
  <c r="N128" i="158"/>
  <c r="L128"/>
  <c r="J128"/>
  <c r="M128"/>
  <c r="K128"/>
  <c r="M117" i="150"/>
  <c r="N117" i="157"/>
  <c r="P117" s="1"/>
  <c r="Q117" s="1"/>
  <c r="M117" i="158"/>
  <c r="O117" s="1"/>
  <c r="P117" s="1"/>
  <c r="N96" i="157"/>
  <c r="O96"/>
  <c r="M96"/>
  <c r="M96" i="158"/>
  <c r="K96"/>
  <c r="N96"/>
  <c r="L96"/>
  <c r="N92" i="157"/>
  <c r="M91"/>
  <c r="P91" s="1"/>
  <c r="W91" s="1"/>
  <c r="O92"/>
  <c r="M92"/>
  <c r="N92" i="158"/>
  <c r="L92"/>
  <c r="K92"/>
  <c r="L91"/>
  <c r="O91" s="1"/>
  <c r="V91" s="1"/>
  <c r="M92"/>
  <c r="J92"/>
  <c r="J80" i="150"/>
  <c r="J80" i="158"/>
  <c r="O80" s="1"/>
  <c r="V80" s="1"/>
  <c r="N56" i="157"/>
  <c r="O56"/>
  <c r="M56"/>
  <c r="M56" i="158"/>
  <c r="K56"/>
  <c r="N56"/>
  <c r="L56"/>
  <c r="O51" i="157"/>
  <c r="M51"/>
  <c r="N51"/>
  <c r="M51" i="158"/>
  <c r="K51"/>
  <c r="N51"/>
  <c r="L51"/>
  <c r="J51"/>
  <c r="L35" i="150"/>
  <c r="M35" i="157"/>
  <c r="P35" s="1"/>
  <c r="Q35" s="1"/>
  <c r="L35" i="158"/>
  <c r="O35" s="1"/>
  <c r="P35" s="1"/>
  <c r="K16" i="150"/>
  <c r="F17" i="163" s="1"/>
  <c r="N9" i="150"/>
  <c r="J9"/>
  <c r="E10" i="163" s="1"/>
  <c r="K9" i="150"/>
  <c r="F10" i="163" s="1"/>
  <c r="K17" i="150"/>
  <c r="K17" i="158"/>
  <c r="O17" s="1"/>
  <c r="Q17" s="1"/>
  <c r="J10" i="150"/>
  <c r="J10" i="158"/>
  <c r="O10" s="1"/>
  <c r="V10" s="1"/>
  <c r="L5" i="150"/>
  <c r="M5" i="157"/>
  <c r="L5" i="158"/>
  <c r="O5" s="1"/>
  <c r="V5" s="1"/>
  <c r="L11" i="150"/>
  <c r="M11" i="157"/>
  <c r="P11" s="1"/>
  <c r="S11" s="1"/>
  <c r="L11" i="158"/>
  <c r="O11" s="1"/>
  <c r="R11" s="1"/>
  <c r="N125" i="157"/>
  <c r="M125"/>
  <c r="O125"/>
  <c r="M125" i="158"/>
  <c r="K125"/>
  <c r="N125"/>
  <c r="L125"/>
  <c r="J125"/>
  <c r="O102" i="157"/>
  <c r="M102"/>
  <c r="N102"/>
  <c r="M102" i="158"/>
  <c r="K102"/>
  <c r="N102"/>
  <c r="L102"/>
  <c r="J102"/>
  <c r="N97" i="157"/>
  <c r="P97" s="1"/>
  <c r="W97" s="1"/>
  <c r="K97" i="158"/>
  <c r="M97"/>
  <c r="N72" i="157"/>
  <c r="O72"/>
  <c r="M72"/>
  <c r="M72" i="158"/>
  <c r="K72"/>
  <c r="N72"/>
  <c r="L72"/>
  <c r="J72"/>
  <c r="J63" i="150"/>
  <c r="J63" i="158"/>
  <c r="O63" s="1"/>
  <c r="P63" s="1"/>
  <c r="N53" i="157"/>
  <c r="O53"/>
  <c r="M53"/>
  <c r="M53" i="158"/>
  <c r="K53"/>
  <c r="N53"/>
  <c r="L53"/>
  <c r="J53"/>
  <c r="L47" i="150"/>
  <c r="M47" i="157"/>
  <c r="P47" s="1"/>
  <c r="W47" s="1"/>
  <c r="L47" i="158"/>
  <c r="O47" s="1"/>
  <c r="V47" s="1"/>
  <c r="N30" i="157"/>
  <c r="O30"/>
  <c r="M30"/>
  <c r="M30" i="158"/>
  <c r="K30"/>
  <c r="N30"/>
  <c r="L30"/>
  <c r="J30"/>
  <c r="M18" i="157"/>
  <c r="P18" s="1"/>
  <c r="Q18" s="1"/>
  <c r="K18" i="158"/>
  <c r="L18"/>
  <c r="J18"/>
  <c r="P157" i="157"/>
  <c r="Q157" s="1"/>
  <c r="O157" i="158"/>
  <c r="P157" s="1"/>
  <c r="P155" i="157"/>
  <c r="Q155" s="1"/>
  <c r="O155" i="158"/>
  <c r="P155" s="1"/>
  <c r="O151" i="150"/>
  <c r="O149"/>
  <c r="O147"/>
  <c r="P145" i="157"/>
  <c r="Q145" s="1"/>
  <c r="P143"/>
  <c r="U143" s="1"/>
  <c r="P141"/>
  <c r="P137"/>
  <c r="W137" s="1"/>
  <c r="O135" i="158"/>
  <c r="T135" s="1"/>
  <c r="P135" i="157"/>
  <c r="U135" s="1"/>
  <c r="P133"/>
  <c r="Q133" s="1"/>
  <c r="O131" i="158"/>
  <c r="O124"/>
  <c r="P124" s="1"/>
  <c r="P124" i="157"/>
  <c r="Q124" s="1"/>
  <c r="P122"/>
  <c r="Q122" s="1"/>
  <c r="O122" i="158"/>
  <c r="P122" s="1"/>
  <c r="O115"/>
  <c r="V115" s="1"/>
  <c r="P115" i="157"/>
  <c r="W115" s="1"/>
  <c r="O114" i="158"/>
  <c r="O113"/>
  <c r="P113" i="157"/>
  <c r="O112" i="158"/>
  <c r="P104" i="157"/>
  <c r="U104" s="1"/>
  <c r="P100"/>
  <c r="O79" i="158"/>
  <c r="V79" s="1"/>
  <c r="P79" i="157"/>
  <c r="W79" s="1"/>
  <c r="P44"/>
  <c r="U44" s="1"/>
  <c r="O39" i="158"/>
  <c r="P39" s="1"/>
  <c r="P39" i="157"/>
  <c r="Q39" s="1"/>
  <c r="V15" i="158"/>
  <c r="Q15"/>
  <c r="T15"/>
  <c r="P15"/>
  <c r="S15"/>
  <c r="R15"/>
  <c r="P158" i="157"/>
  <c r="W158" s="1"/>
  <c r="O158" i="158"/>
  <c r="V158" s="1"/>
  <c r="O156" i="150"/>
  <c r="P154" i="157"/>
  <c r="Q154" s="1"/>
  <c r="O154" i="158"/>
  <c r="P154" s="1"/>
  <c r="O152" i="150"/>
  <c r="P150" i="157"/>
  <c r="S150" s="1"/>
  <c r="O150" i="158"/>
  <c r="R150" s="1"/>
  <c r="P148" i="157"/>
  <c r="U148" s="1"/>
  <c r="O148" i="158"/>
  <c r="T148" s="1"/>
  <c r="P146" i="157"/>
  <c r="W146" s="1"/>
  <c r="O146" i="158"/>
  <c r="V146" s="1"/>
  <c r="P142" i="157"/>
  <c r="U142" s="1"/>
  <c r="O142" i="158"/>
  <c r="T142" s="1"/>
  <c r="P126" i="157"/>
  <c r="Q126" s="1"/>
  <c r="O126" i="158"/>
  <c r="P126" s="1"/>
  <c r="Q123"/>
  <c r="O123"/>
  <c r="P90" i="157"/>
  <c r="Q90" s="1"/>
  <c r="O90" i="158"/>
  <c r="P90" s="1"/>
  <c r="P78"/>
  <c r="O78"/>
  <c r="O73"/>
  <c r="P73" s="1"/>
  <c r="P70" i="157"/>
  <c r="Q70" s="1"/>
  <c r="O55"/>
  <c r="M55"/>
  <c r="L55" i="158"/>
  <c r="N55"/>
  <c r="K55"/>
  <c r="N42" i="157"/>
  <c r="O42"/>
  <c r="M42"/>
  <c r="M42" i="158"/>
  <c r="K42"/>
  <c r="N42"/>
  <c r="L42"/>
  <c r="J42"/>
  <c r="J40" i="150"/>
  <c r="J40" i="158"/>
  <c r="O40" s="1"/>
  <c r="P40" s="1"/>
  <c r="O38"/>
  <c r="P38" s="1"/>
  <c r="P38" i="157"/>
  <c r="Q38" s="1"/>
  <c r="P36"/>
  <c r="W36" s="1"/>
  <c r="N32"/>
  <c r="O32"/>
  <c r="M32"/>
  <c r="N32" i="158"/>
  <c r="L32"/>
  <c r="J32"/>
  <c r="M32"/>
  <c r="K32"/>
  <c r="L23" i="150"/>
  <c r="M23" i="157"/>
  <c r="P23" s="1"/>
  <c r="Q23" s="1"/>
  <c r="L23" i="158"/>
  <c r="O23" s="1"/>
  <c r="P23" s="1"/>
  <c r="L21" i="150"/>
  <c r="M21" i="157"/>
  <c r="P21" s="1"/>
  <c r="W21" s="1"/>
  <c r="L21" i="158"/>
  <c r="O21" s="1"/>
  <c r="V21" s="1"/>
  <c r="K118" i="150"/>
  <c r="K118" i="158"/>
  <c r="O118" s="1"/>
  <c r="P118" s="1"/>
  <c r="O130" i="157"/>
  <c r="M130"/>
  <c r="N130"/>
  <c r="N130" i="158"/>
  <c r="L130"/>
  <c r="J130"/>
  <c r="M130"/>
  <c r="K130"/>
  <c r="L120" i="150"/>
  <c r="M120" i="157"/>
  <c r="L120" i="158"/>
  <c r="K67" i="150"/>
  <c r="K67" i="158"/>
  <c r="O67" s="1"/>
  <c r="P67" s="1"/>
  <c r="K49" i="150"/>
  <c r="K49" i="158"/>
  <c r="O49" s="1"/>
  <c r="P49" s="1"/>
  <c r="M13" i="150"/>
  <c r="N13" i="157"/>
  <c r="P13" s="1"/>
  <c r="Q13" s="1"/>
  <c r="M13" i="158"/>
  <c r="O13" s="1"/>
  <c r="P13" s="1"/>
  <c r="O157" i="150"/>
  <c r="O155"/>
  <c r="O151" i="158"/>
  <c r="O149"/>
  <c r="P149" s="1"/>
  <c r="O147"/>
  <c r="V147" s="1"/>
  <c r="P139" i="157"/>
  <c r="O122" i="150"/>
  <c r="O71" i="158"/>
  <c r="P71" s="1"/>
  <c r="O158" i="150"/>
  <c r="P156" i="157"/>
  <c r="W156" s="1"/>
  <c r="O156" i="158"/>
  <c r="V156" s="1"/>
  <c r="O154" i="150"/>
  <c r="P152" i="157"/>
  <c r="W152" s="1"/>
  <c r="O152" i="158"/>
  <c r="V152" s="1"/>
  <c r="O150" i="150"/>
  <c r="O148"/>
  <c r="P144" i="157"/>
  <c r="Q144" s="1"/>
  <c r="O144" i="158"/>
  <c r="P144" s="1"/>
  <c r="P140" i="157"/>
  <c r="Q140" s="1"/>
  <c r="O140" i="158"/>
  <c r="P140" s="1"/>
  <c r="P138" i="157"/>
  <c r="U138" s="1"/>
  <c r="O138" i="158"/>
  <c r="T138" s="1"/>
  <c r="O132"/>
  <c r="P129" i="157"/>
  <c r="Q129" s="1"/>
  <c r="O123" i="150"/>
  <c r="P123" i="157"/>
  <c r="R123"/>
  <c r="P108"/>
  <c r="U108" s="1"/>
  <c r="O108" i="158"/>
  <c r="T108" s="1"/>
  <c r="O105"/>
  <c r="V105" s="1"/>
  <c r="P99" i="157"/>
  <c r="U99" s="1"/>
  <c r="P88"/>
  <c r="T88" s="1"/>
  <c r="O88" i="158"/>
  <c r="S88" s="1"/>
  <c r="P78" i="157"/>
  <c r="U78"/>
  <c r="N65"/>
  <c r="O65"/>
  <c r="M65"/>
  <c r="N65" i="158"/>
  <c r="L65"/>
  <c r="J65"/>
  <c r="M65"/>
  <c r="K65"/>
  <c r="L41" i="150"/>
  <c r="M41" i="157"/>
  <c r="P41" s="1"/>
  <c r="W41" s="1"/>
  <c r="L41" i="158"/>
  <c r="O41" s="1"/>
  <c r="V41" s="1"/>
  <c r="O36"/>
  <c r="V36" s="1"/>
  <c r="L34" i="150"/>
  <c r="M34" i="157"/>
  <c r="P34" s="1"/>
  <c r="Q34" s="1"/>
  <c r="L34" i="158"/>
  <c r="O34" s="1"/>
  <c r="P34" s="1"/>
  <c r="O29" i="157"/>
  <c r="M29"/>
  <c r="N29"/>
  <c r="N29" i="158"/>
  <c r="L29"/>
  <c r="J29"/>
  <c r="M29"/>
  <c r="K29"/>
  <c r="M22" i="157"/>
  <c r="N22"/>
  <c r="M22" i="158"/>
  <c r="L22"/>
  <c r="L20" i="150"/>
  <c r="M20" i="157"/>
  <c r="P20" s="1"/>
  <c r="W20" s="1"/>
  <c r="L20" i="158"/>
  <c r="O20" s="1"/>
  <c r="V20" s="1"/>
  <c r="O139" i="150"/>
  <c r="O135"/>
  <c r="O124"/>
  <c r="O112"/>
  <c r="O44"/>
  <c r="O38"/>
  <c r="O132"/>
  <c r="O136"/>
  <c r="O153"/>
  <c r="O159"/>
  <c r="Q25"/>
  <c r="O25"/>
  <c r="O115"/>
  <c r="O84"/>
  <c r="O69"/>
  <c r="O39"/>
  <c r="O114"/>
  <c r="O71"/>
  <c r="O36"/>
  <c r="O78"/>
  <c r="O73"/>
  <c r="Q73"/>
  <c r="O79"/>
  <c r="O105"/>
  <c r="O133"/>
  <c r="O131"/>
  <c r="O113"/>
  <c r="O100"/>
  <c r="O159" i="158"/>
  <c r="R159" s="1"/>
  <c r="O153"/>
  <c r="R153" s="1"/>
  <c r="O136"/>
  <c r="P136" s="1"/>
  <c r="O133"/>
  <c r="L130" i="150"/>
  <c r="G210" i="163" s="1"/>
  <c r="N130" i="150"/>
  <c r="K130"/>
  <c r="F210" i="163" s="1"/>
  <c r="M130" i="150"/>
  <c r="H210" i="163" s="1"/>
  <c r="J130" i="150"/>
  <c r="E210" i="163" s="1"/>
  <c r="K27" i="150"/>
  <c r="F24" i="163" s="1"/>
  <c r="M27" i="150"/>
  <c r="H24" i="163" s="1"/>
  <c r="J27" i="150"/>
  <c r="E24" i="163" s="1"/>
  <c r="L27" i="150"/>
  <c r="G24" i="163" s="1"/>
  <c r="N27" i="150"/>
  <c r="K125"/>
  <c r="F208" i="163" s="1"/>
  <c r="M125" i="150"/>
  <c r="H208" i="163" s="1"/>
  <c r="J125" i="150"/>
  <c r="E208" i="163" s="1"/>
  <c r="L125" i="150"/>
  <c r="G208" i="163" s="1"/>
  <c r="N125" i="150"/>
  <c r="L76"/>
  <c r="G93" i="163" s="1"/>
  <c r="J93" s="1"/>
  <c r="M76" i="150"/>
  <c r="H93" i="163" s="1"/>
  <c r="K62" i="150"/>
  <c r="F29" i="163" s="1"/>
  <c r="M62" i="150"/>
  <c r="H29" i="163" s="1"/>
  <c r="J62" i="150"/>
  <c r="E29" i="163" s="1"/>
  <c r="L62" i="150"/>
  <c r="G29" i="163" s="1"/>
  <c r="N62" i="150"/>
  <c r="K28"/>
  <c r="F25" i="163" s="1"/>
  <c r="M28" i="150"/>
  <c r="H25" i="163" s="1"/>
  <c r="L28" i="150"/>
  <c r="G25" i="163" s="1"/>
  <c r="J28" i="150"/>
  <c r="E25" i="163" s="1"/>
  <c r="L134" i="150"/>
  <c r="G181" i="163" s="1"/>
  <c r="J134" i="150"/>
  <c r="E181" i="163" s="1"/>
  <c r="K33" i="150"/>
  <c r="F39" i="163" s="1"/>
  <c r="M33" i="150"/>
  <c r="H39" i="163" s="1"/>
  <c r="J33" i="150"/>
  <c r="E39" i="163" s="1"/>
  <c r="L33" i="150"/>
  <c r="G39" i="163" s="1"/>
  <c r="N33" i="150"/>
  <c r="L128"/>
  <c r="G179" i="163" s="1"/>
  <c r="N128" i="150"/>
  <c r="K128"/>
  <c r="F179" i="163" s="1"/>
  <c r="M128" i="150"/>
  <c r="H179" i="163" s="1"/>
  <c r="J128" i="150"/>
  <c r="E179" i="163" s="1"/>
  <c r="M96" i="150"/>
  <c r="H113" i="163" s="1"/>
  <c r="K96" i="150"/>
  <c r="F113" i="163" s="1"/>
  <c r="L96" i="150"/>
  <c r="G113" i="163" s="1"/>
  <c r="N96" i="150"/>
  <c r="K92"/>
  <c r="F74" i="163" s="1"/>
  <c r="M92" i="150"/>
  <c r="H74" i="163" s="1"/>
  <c r="J92" i="150"/>
  <c r="E74" i="163" s="1"/>
  <c r="L92" i="150"/>
  <c r="G74" i="163" s="1"/>
  <c r="N92" i="150"/>
  <c r="L91"/>
  <c r="G73" i="163" s="1"/>
  <c r="J73" s="1"/>
  <c r="M56" i="150"/>
  <c r="H72" i="163" s="1"/>
  <c r="K56" i="150"/>
  <c r="F72" i="163" s="1"/>
  <c r="L56" i="150"/>
  <c r="G72" i="163" s="1"/>
  <c r="N56" i="150"/>
  <c r="K51"/>
  <c r="F67" i="163" s="1"/>
  <c r="M51" i="150"/>
  <c r="H67" i="163" s="1"/>
  <c r="J51" i="150"/>
  <c r="E67" i="163" s="1"/>
  <c r="L51" i="150"/>
  <c r="G67" i="163" s="1"/>
  <c r="N51" i="150"/>
  <c r="M16"/>
  <c r="H17" i="163" s="1"/>
  <c r="L102" i="150"/>
  <c r="G152" i="163" s="1"/>
  <c r="N102" i="150"/>
  <c r="K102"/>
  <c r="F152" i="163" s="1"/>
  <c r="M102" i="150"/>
  <c r="H152" i="163" s="1"/>
  <c r="J102" i="150"/>
  <c r="E152" i="163" s="1"/>
  <c r="K97" i="150"/>
  <c r="F114" i="163" s="1"/>
  <c r="J114" s="1"/>
  <c r="M97" i="150"/>
  <c r="H114" i="163" s="1"/>
  <c r="N72" i="150"/>
  <c r="L72"/>
  <c r="G89" i="163" s="1"/>
  <c r="J72" i="150"/>
  <c r="E89" i="163" s="1"/>
  <c r="M72" i="150"/>
  <c r="H89" i="163" s="1"/>
  <c r="K72" i="150"/>
  <c r="F89" i="163" s="1"/>
  <c r="K53" i="150"/>
  <c r="F69" i="163" s="1"/>
  <c r="M53" i="150"/>
  <c r="H69" i="163" s="1"/>
  <c r="J53" i="150"/>
  <c r="E69" i="163" s="1"/>
  <c r="N53" i="150"/>
  <c r="L53"/>
  <c r="G69" i="163" s="1"/>
  <c r="K30" i="150"/>
  <c r="F36" i="163" s="1"/>
  <c r="F34" s="1"/>
  <c r="D12" i="174" s="1"/>
  <c r="M30" i="150"/>
  <c r="H36" i="163" s="1"/>
  <c r="J30" i="150"/>
  <c r="E36" i="163" s="1"/>
  <c r="L30" i="150"/>
  <c r="G36" i="163" s="1"/>
  <c r="N30" i="150"/>
  <c r="L8"/>
  <c r="G9" i="163" s="1"/>
  <c r="N8" i="150"/>
  <c r="K8"/>
  <c r="F9" i="163" s="1"/>
  <c r="M8" i="150"/>
  <c r="H9" i="163" s="1"/>
  <c r="J8" i="150"/>
  <c r="E9" i="163" s="1"/>
  <c r="G176" l="1"/>
  <c r="E24" i="174" s="1"/>
  <c r="J181" i="163"/>
  <c r="F85"/>
  <c r="D15" i="174" s="1"/>
  <c r="I198" i="163"/>
  <c r="G26" i="174" s="1"/>
  <c r="G149" i="163"/>
  <c r="E9" i="174" s="1"/>
  <c r="E7" s="1"/>
  <c r="I191" i="163"/>
  <c r="G25" i="174" s="1"/>
  <c r="G62" i="163"/>
  <c r="E20" i="174" s="1"/>
  <c r="E19" s="1"/>
  <c r="J44" i="163"/>
  <c r="H106"/>
  <c r="F16" i="174" s="1"/>
  <c r="J123" i="163"/>
  <c r="H176"/>
  <c r="F24" i="174" s="1"/>
  <c r="G106" i="163"/>
  <c r="E16" i="174" s="1"/>
  <c r="J155" i="163"/>
  <c r="J192"/>
  <c r="H34"/>
  <c r="F12" i="174" s="1"/>
  <c r="F149" i="163"/>
  <c r="D9" i="174" s="1"/>
  <c r="D7" s="1"/>
  <c r="F176" i="163"/>
  <c r="D24" i="174" s="1"/>
  <c r="Q30" i="150"/>
  <c r="I36" i="163"/>
  <c r="O68" i="150"/>
  <c r="H126" i="163"/>
  <c r="J126" s="1"/>
  <c r="Q127" i="150"/>
  <c r="I178" i="163"/>
  <c r="Q8" i="150"/>
  <c r="I9" i="163"/>
  <c r="Q53" i="150"/>
  <c r="I69" i="163"/>
  <c r="Q96" i="150"/>
  <c r="I113" i="163"/>
  <c r="I106" s="1"/>
  <c r="G16" i="174" s="1"/>
  <c r="Q62" i="150"/>
  <c r="I29" i="163"/>
  <c r="Q27" i="150"/>
  <c r="I24" i="163"/>
  <c r="J24" s="1"/>
  <c r="Q130" i="150"/>
  <c r="I210" i="163"/>
  <c r="O20" i="150"/>
  <c r="G21" i="163"/>
  <c r="J21" s="1"/>
  <c r="O47" i="150"/>
  <c r="G28" i="163"/>
  <c r="J28" s="1"/>
  <c r="O11" i="150"/>
  <c r="G12" i="163"/>
  <c r="J12" s="1"/>
  <c r="O19" i="150"/>
  <c r="F20" i="163"/>
  <c r="J20" s="1"/>
  <c r="O94" i="150"/>
  <c r="G132" i="163"/>
  <c r="J132" s="1"/>
  <c r="O7" i="150"/>
  <c r="G8" i="163"/>
  <c r="O95" i="150"/>
  <c r="H133" i="163"/>
  <c r="Q93" i="150"/>
  <c r="I112" i="163"/>
  <c r="Q7" i="150"/>
  <c r="I8" i="163"/>
  <c r="O75" i="150"/>
  <c r="G92" i="163"/>
  <c r="O48" i="150"/>
  <c r="F64" i="163"/>
  <c r="Q29" i="150"/>
  <c r="I35" i="163"/>
  <c r="E176"/>
  <c r="C24" i="174" s="1"/>
  <c r="J112" i="163"/>
  <c r="J139"/>
  <c r="I164"/>
  <c r="G23" i="174" s="1"/>
  <c r="J167" i="163"/>
  <c r="Q102" i="150"/>
  <c r="I152" i="163"/>
  <c r="J152" s="1"/>
  <c r="Q56" i="150"/>
  <c r="I72" i="163"/>
  <c r="O63" i="150"/>
  <c r="E130" i="163"/>
  <c r="Q9" i="150"/>
  <c r="I10" i="163"/>
  <c r="O46" i="150"/>
  <c r="G47" i="163"/>
  <c r="J47" s="1"/>
  <c r="Q51" i="150"/>
  <c r="I67" i="163"/>
  <c r="J208"/>
  <c r="E204"/>
  <c r="C27" i="174" s="1"/>
  <c r="Q72" i="150"/>
  <c r="I89" i="163"/>
  <c r="O120" i="150"/>
  <c r="G165" i="163"/>
  <c r="O23" i="150"/>
  <c r="G53" i="163"/>
  <c r="Q92" i="150"/>
  <c r="I74" i="163"/>
  <c r="J74" s="1"/>
  <c r="Q128" i="150"/>
  <c r="I179" i="163"/>
  <c r="Q125" i="150"/>
  <c r="I208" i="163"/>
  <c r="I204" s="1"/>
  <c r="G27" i="174" s="1"/>
  <c r="O34" i="150"/>
  <c r="G40" i="163"/>
  <c r="J40" s="1"/>
  <c r="O41" i="150"/>
  <c r="G26" i="163"/>
  <c r="J26" s="1"/>
  <c r="O49" i="150"/>
  <c r="F65" i="163"/>
  <c r="J65" s="1"/>
  <c r="O5" i="150"/>
  <c r="G6" i="163"/>
  <c r="O17" i="150"/>
  <c r="F18" i="163"/>
  <c r="J18" s="1"/>
  <c r="O80" i="150"/>
  <c r="E97" i="163"/>
  <c r="J97" s="1"/>
  <c r="O117" i="150"/>
  <c r="H205" i="163"/>
  <c r="Q16" i="150"/>
  <c r="I17" i="163"/>
  <c r="O52" i="150"/>
  <c r="F68" i="163"/>
  <c r="J68" s="1"/>
  <c r="O101" i="150"/>
  <c r="E151" i="163"/>
  <c r="O54" i="150"/>
  <c r="H70" i="163"/>
  <c r="J70" s="1"/>
  <c r="O22" i="150"/>
  <c r="H63" i="163"/>
  <c r="Q74" i="150"/>
  <c r="I91" i="163"/>
  <c r="J91" s="1"/>
  <c r="O81" i="150"/>
  <c r="G98" i="163"/>
  <c r="J98" s="1"/>
  <c r="Q66" i="150"/>
  <c r="I124" i="163"/>
  <c r="Q32" i="150"/>
  <c r="I38" i="163"/>
  <c r="Q55" i="150"/>
  <c r="I71" i="163"/>
  <c r="J71" s="1"/>
  <c r="O64" i="150"/>
  <c r="G131" i="163"/>
  <c r="O24" i="150"/>
  <c r="G54" i="163"/>
  <c r="J54" s="1"/>
  <c r="J89"/>
  <c r="J29"/>
  <c r="J124"/>
  <c r="J9"/>
  <c r="J69"/>
  <c r="J36"/>
  <c r="J72"/>
  <c r="J179"/>
  <c r="J25"/>
  <c r="J67"/>
  <c r="J153"/>
  <c r="J17"/>
  <c r="J178"/>
  <c r="E106"/>
  <c r="C16" i="174" s="1"/>
  <c r="E62" i="163"/>
  <c r="C20" i="174" s="1"/>
  <c r="C19" s="1"/>
  <c r="J87" i="163"/>
  <c r="I176"/>
  <c r="G24" i="174" s="1"/>
  <c r="J150" i="163"/>
  <c r="O118" i="150"/>
  <c r="F206" i="163"/>
  <c r="O35" i="150"/>
  <c r="G41" i="163"/>
  <c r="J41" s="1"/>
  <c r="O12" i="150"/>
  <c r="G13" i="163"/>
  <c r="J13" s="1"/>
  <c r="Q109" i="150"/>
  <c r="I142" i="163"/>
  <c r="I138" s="1"/>
  <c r="G8" i="174" s="1"/>
  <c r="Q58" i="150"/>
  <c r="I122" i="163"/>
  <c r="J122" s="1"/>
  <c r="G204"/>
  <c r="E27" i="174" s="1"/>
  <c r="J207" i="163"/>
  <c r="Q106" i="150"/>
  <c r="I154" i="163"/>
  <c r="O111" i="150"/>
  <c r="H157" i="163"/>
  <c r="J157" s="1"/>
  <c r="O77" i="150"/>
  <c r="E94" i="163"/>
  <c r="J94" s="1"/>
  <c r="Q33" i="150"/>
  <c r="I39" i="163"/>
  <c r="J39" s="1"/>
  <c r="O13" i="150"/>
  <c r="H14" i="163"/>
  <c r="J14" s="1"/>
  <c r="O67" i="150"/>
  <c r="F125" i="163"/>
  <c r="J125" s="1"/>
  <c r="O21" i="150"/>
  <c r="G22" i="163"/>
  <c r="J22" s="1"/>
  <c r="O40" i="150"/>
  <c r="E43" i="163"/>
  <c r="J43" s="1"/>
  <c r="O10" i="150"/>
  <c r="E11" i="163"/>
  <c r="J11" s="1"/>
  <c r="O82" i="150"/>
  <c r="H99" i="163"/>
  <c r="O86" i="150"/>
  <c r="F107" i="163"/>
  <c r="O18" i="150"/>
  <c r="E19" i="163"/>
  <c r="J19" s="1"/>
  <c r="O26" i="150"/>
  <c r="E23" i="163"/>
  <c r="J23" s="1"/>
  <c r="Q6" i="150"/>
  <c r="I7" i="163"/>
  <c r="J7" s="1"/>
  <c r="E120"/>
  <c r="C17" i="174" s="1"/>
  <c r="Q42" i="150"/>
  <c r="I27" i="163"/>
  <c r="J27" s="1"/>
  <c r="O50" i="150"/>
  <c r="H66" i="163"/>
  <c r="J66" s="1"/>
  <c r="Q57" i="150"/>
  <c r="I121" i="163"/>
  <c r="J121" s="1"/>
  <c r="J35"/>
  <c r="Q83" i="150"/>
  <c r="I100" i="163"/>
  <c r="J38"/>
  <c r="J191"/>
  <c r="H25" i="174" s="1"/>
  <c r="J199" i="163"/>
  <c r="J198" s="1"/>
  <c r="H26" i="174" s="1"/>
  <c r="J210" i="163"/>
  <c r="J10"/>
  <c r="J100"/>
  <c r="J115"/>
  <c r="H120"/>
  <c r="F17" i="174" s="1"/>
  <c r="G120" i="163"/>
  <c r="E17" i="174" s="1"/>
  <c r="E138" i="163"/>
  <c r="C8" i="174" s="1"/>
  <c r="O107" i="158"/>
  <c r="V107" s="1"/>
  <c r="P83" i="157"/>
  <c r="Q83" s="1"/>
  <c r="O107" i="150"/>
  <c r="P43" i="157"/>
  <c r="Q43" s="1"/>
  <c r="P103"/>
  <c r="Q103" s="1"/>
  <c r="P93"/>
  <c r="Q93" s="1"/>
  <c r="T141" i="158"/>
  <c r="O106"/>
  <c r="V106" s="1"/>
  <c r="O83"/>
  <c r="P83" s="1"/>
  <c r="O43"/>
  <c r="P43" s="1"/>
  <c r="P58" i="157"/>
  <c r="Q58" s="1"/>
  <c r="P66"/>
  <c r="Q66" s="1"/>
  <c r="O55" i="150"/>
  <c r="O57" i="158"/>
  <c r="P57" s="1"/>
  <c r="O29" i="150"/>
  <c r="P119" i="157"/>
  <c r="Q119" s="1"/>
  <c r="O66" i="158"/>
  <c r="P66" s="1"/>
  <c r="O58" i="150"/>
  <c r="O109" i="164"/>
  <c r="O58" i="158"/>
  <c r="P58" s="1"/>
  <c r="O57" i="150"/>
  <c r="O48" i="158"/>
  <c r="P48" s="1"/>
  <c r="P106" i="157"/>
  <c r="W106" s="1"/>
  <c r="O119" i="150"/>
  <c r="P7" i="157"/>
  <c r="W7" s="1"/>
  <c r="O106" i="150"/>
  <c r="O32"/>
  <c r="P57" i="157"/>
  <c r="Q57" s="1"/>
  <c r="O66" i="150"/>
  <c r="Q109" i="165"/>
  <c r="O93" i="158"/>
  <c r="P93" s="1"/>
  <c r="O42" i="150"/>
  <c r="O109" i="166"/>
  <c r="O93" i="150"/>
  <c r="P109" i="157"/>
  <c r="U109" s="1"/>
  <c r="Q109" i="164"/>
  <c r="T109"/>
  <c r="R109"/>
  <c r="N109"/>
  <c r="R109" i="166"/>
  <c r="T100" i="158"/>
  <c r="Q109" i="166"/>
  <c r="T109"/>
  <c r="N109"/>
  <c r="P74" i="157"/>
  <c r="Q74" s="1"/>
  <c r="P72"/>
  <c r="Q72" s="1"/>
  <c r="P76"/>
  <c r="W76" s="1"/>
  <c r="W75"/>
  <c r="P127"/>
  <c r="U127" s="1"/>
  <c r="O127" i="150"/>
  <c r="O65"/>
  <c r="O103" i="158"/>
  <c r="P103" s="1"/>
  <c r="S132" i="157"/>
  <c r="T139" i="158"/>
  <c r="U132" i="157"/>
  <c r="S139" i="158"/>
  <c r="O83" i="150"/>
  <c r="O74"/>
  <c r="O109" i="158"/>
  <c r="S109" s="1"/>
  <c r="O109" i="150"/>
  <c r="O127" i="158"/>
  <c r="T127" s="1"/>
  <c r="P109" i="165"/>
  <c r="O109"/>
  <c r="O98" i="158"/>
  <c r="V98" s="1"/>
  <c r="Q151" i="157"/>
  <c r="T109" i="165"/>
  <c r="N109"/>
  <c r="U151" i="157"/>
  <c r="Q100" i="158"/>
  <c r="O74"/>
  <c r="P74" s="1"/>
  <c r="S100"/>
  <c r="K160"/>
  <c r="S141"/>
  <c r="O6" i="150"/>
  <c r="P100" i="158"/>
  <c r="O43" i="150"/>
  <c r="O103"/>
  <c r="O6" i="158"/>
  <c r="P6" s="1"/>
  <c r="R100"/>
  <c r="O98" i="150"/>
  <c r="R112" i="157"/>
  <c r="Q141" i="158"/>
  <c r="W132" i="157"/>
  <c r="T132"/>
  <c r="R141" i="158"/>
  <c r="P141"/>
  <c r="Q132" i="157"/>
  <c r="O9" i="150"/>
  <c r="R151" i="157"/>
  <c r="M160" i="158"/>
  <c r="O42"/>
  <c r="P42" s="1"/>
  <c r="T151" i="157"/>
  <c r="Q139" i="158"/>
  <c r="P32" i="157"/>
  <c r="Q32" s="1"/>
  <c r="O55" i="158"/>
  <c r="P55" s="1"/>
  <c r="L160"/>
  <c r="P139"/>
  <c r="S151" i="157"/>
  <c r="R139" i="158"/>
  <c r="U112" i="157"/>
  <c r="Q112"/>
  <c r="T131"/>
  <c r="W112"/>
  <c r="T112"/>
  <c r="Q131"/>
  <c r="T114"/>
  <c r="Q114"/>
  <c r="R131"/>
  <c r="U114"/>
  <c r="W131"/>
  <c r="S114"/>
  <c r="S131"/>
  <c r="R114"/>
  <c r="O22" i="158"/>
  <c r="V22" s="1"/>
  <c r="P22" i="157"/>
  <c r="W22" s="1"/>
  <c r="N160" i="158"/>
  <c r="P29" i="157"/>
  <c r="W29" s="1"/>
  <c r="P65"/>
  <c r="Q65" s="1"/>
  <c r="P130"/>
  <c r="U130" s="1"/>
  <c r="P30"/>
  <c r="Q30" s="1"/>
  <c r="O53" i="158"/>
  <c r="P53" s="1"/>
  <c r="O72"/>
  <c r="P72" s="1"/>
  <c r="O51"/>
  <c r="S51" s="1"/>
  <c r="P51" i="157"/>
  <c r="S51" s="1"/>
  <c r="P56"/>
  <c r="Q56" s="1"/>
  <c r="O16" i="158"/>
  <c r="P16" s="1"/>
  <c r="P16" i="157"/>
  <c r="Q16" s="1"/>
  <c r="P28"/>
  <c r="Q28" s="1"/>
  <c r="P62"/>
  <c r="U62" s="1"/>
  <c r="O76" i="158"/>
  <c r="V76" s="1"/>
  <c r="P9" i="157"/>
  <c r="Q9" s="1"/>
  <c r="O8" i="158"/>
  <c r="P8" s="1"/>
  <c r="P8" i="157"/>
  <c r="Q8" s="1"/>
  <c r="O27" i="158"/>
  <c r="P27" s="1"/>
  <c r="T102" i="164"/>
  <c r="Q102"/>
  <c r="P102"/>
  <c r="N102"/>
  <c r="R102"/>
  <c r="O102"/>
  <c r="T102" i="166"/>
  <c r="P102"/>
  <c r="R102"/>
  <c r="O102"/>
  <c r="Q102"/>
  <c r="N102"/>
  <c r="Q125" i="165"/>
  <c r="N125"/>
  <c r="O125"/>
  <c r="P125"/>
  <c r="R125"/>
  <c r="T125"/>
  <c r="M6"/>
  <c r="K160"/>
  <c r="L160" i="166"/>
  <c r="M8"/>
  <c r="N8" s="1"/>
  <c r="T5" i="164"/>
  <c r="M160"/>
  <c r="N51"/>
  <c r="P51"/>
  <c r="O51"/>
  <c r="Q51"/>
  <c r="T51"/>
  <c r="R51"/>
  <c r="Q51" i="166"/>
  <c r="N51"/>
  <c r="O51"/>
  <c r="R51"/>
  <c r="T51"/>
  <c r="P51"/>
  <c r="T102" i="165"/>
  <c r="P102"/>
  <c r="O102"/>
  <c r="Q102"/>
  <c r="R102"/>
  <c r="N102"/>
  <c r="R125" i="164"/>
  <c r="O125"/>
  <c r="N125"/>
  <c r="P125"/>
  <c r="T125"/>
  <c r="Q125"/>
  <c r="P125" i="166"/>
  <c r="R125"/>
  <c r="T125"/>
  <c r="Q125"/>
  <c r="N125"/>
  <c r="O125"/>
  <c r="J160" i="164"/>
  <c r="Q51" i="165"/>
  <c r="N51"/>
  <c r="O51"/>
  <c r="R51"/>
  <c r="T51"/>
  <c r="P51"/>
  <c r="O29" i="158"/>
  <c r="V29" s="1"/>
  <c r="N160" i="157"/>
  <c r="U139"/>
  <c r="Q139"/>
  <c r="T139"/>
  <c r="S139"/>
  <c r="W139"/>
  <c r="R139"/>
  <c r="Q120"/>
  <c r="P120"/>
  <c r="R120"/>
  <c r="O130" i="158"/>
  <c r="T130" s="1"/>
  <c r="V112"/>
  <c r="S112"/>
  <c r="P112"/>
  <c r="Q112"/>
  <c r="R112"/>
  <c r="T112"/>
  <c r="S113"/>
  <c r="P113"/>
  <c r="R113"/>
  <c r="V113"/>
  <c r="T113"/>
  <c r="Q113"/>
  <c r="P131"/>
  <c r="S131"/>
  <c r="Q131"/>
  <c r="T131"/>
  <c r="V131"/>
  <c r="R131"/>
  <c r="O56"/>
  <c r="P56" s="1"/>
  <c r="O65"/>
  <c r="P65" s="1"/>
  <c r="S132"/>
  <c r="T132"/>
  <c r="V132"/>
  <c r="P132"/>
  <c r="R132"/>
  <c r="Q132"/>
  <c r="V151"/>
  <c r="P151"/>
  <c r="S151"/>
  <c r="T151"/>
  <c r="Q151"/>
  <c r="R151"/>
  <c r="Q120"/>
  <c r="P120"/>
  <c r="O120"/>
  <c r="O32"/>
  <c r="P32" s="1"/>
  <c r="P42" i="157"/>
  <c r="Q42" s="1"/>
  <c r="P55"/>
  <c r="Q55" s="1"/>
  <c r="J160" i="158"/>
  <c r="Q100" i="157"/>
  <c r="W100"/>
  <c r="S100"/>
  <c r="U100"/>
  <c r="T100"/>
  <c r="R100"/>
  <c r="Q113"/>
  <c r="T113"/>
  <c r="S113"/>
  <c r="U113"/>
  <c r="W113"/>
  <c r="R113"/>
  <c r="R114" i="158"/>
  <c r="Q114"/>
  <c r="P114"/>
  <c r="S114"/>
  <c r="V114"/>
  <c r="T114"/>
  <c r="T141" i="157"/>
  <c r="R141"/>
  <c r="U141"/>
  <c r="S141"/>
  <c r="W141"/>
  <c r="Q141"/>
  <c r="O18" i="158"/>
  <c r="P18" s="1"/>
  <c r="O30"/>
  <c r="P30" s="1"/>
  <c r="P53" i="157"/>
  <c r="Q53" s="1"/>
  <c r="O97" i="158"/>
  <c r="V97" s="1"/>
  <c r="O102"/>
  <c r="P102" i="157"/>
  <c r="O125" i="158"/>
  <c r="P125" i="157"/>
  <c r="M160"/>
  <c r="P5"/>
  <c r="O92" i="158"/>
  <c r="P92" s="1"/>
  <c r="P92" i="157"/>
  <c r="Q92" s="1"/>
  <c r="O96" i="158"/>
  <c r="V96" s="1"/>
  <c r="P96" i="157"/>
  <c r="W96" s="1"/>
  <c r="O128" i="158"/>
  <c r="P128" s="1"/>
  <c r="P128" i="157"/>
  <c r="Q128" s="1"/>
  <c r="O33" i="158"/>
  <c r="P33" s="1"/>
  <c r="P33" i="157"/>
  <c r="Q33" s="1"/>
  <c r="O134" i="158"/>
  <c r="P134" s="1"/>
  <c r="O28"/>
  <c r="P28" s="1"/>
  <c r="O62"/>
  <c r="T62" s="1"/>
  <c r="O9"/>
  <c r="P9" s="1"/>
  <c r="P27" i="157"/>
  <c r="Q27" s="1"/>
  <c r="O76" i="150"/>
  <c r="O8"/>
  <c r="O30"/>
  <c r="O56"/>
  <c r="O128"/>
  <c r="O91"/>
  <c r="O102"/>
  <c r="O33"/>
  <c r="O62"/>
  <c r="O27"/>
  <c r="O72"/>
  <c r="O97"/>
  <c r="O96"/>
  <c r="O134"/>
  <c r="O125"/>
  <c r="O130"/>
  <c r="O16"/>
  <c r="O51"/>
  <c r="O53"/>
  <c r="O92"/>
  <c r="O28"/>
  <c r="P133" i="158"/>
  <c r="I149" i="163" l="1"/>
  <c r="G9" i="174" s="1"/>
  <c r="G7" s="1"/>
  <c r="J176" i="163"/>
  <c r="H24" i="174" s="1"/>
  <c r="J113" i="163"/>
  <c r="C22" i="174"/>
  <c r="G34" i="163"/>
  <c r="E12" i="174" s="1"/>
  <c r="E34" i="163"/>
  <c r="C12" i="174" s="1"/>
  <c r="J142" i="163"/>
  <c r="F120"/>
  <c r="D17" i="174" s="1"/>
  <c r="Q160" i="150"/>
  <c r="I85" i="163"/>
  <c r="G15" i="174" s="1"/>
  <c r="G22"/>
  <c r="H5" i="163"/>
  <c r="F11" i="174" s="1"/>
  <c r="F10" s="1"/>
  <c r="H149" i="163"/>
  <c r="F9" i="174" s="1"/>
  <c r="F7" s="1"/>
  <c r="F5" i="163"/>
  <c r="D11" i="174" s="1"/>
  <c r="D10" s="1"/>
  <c r="J99" i="163"/>
  <c r="H85"/>
  <c r="F15" i="174" s="1"/>
  <c r="H62" i="163"/>
  <c r="F20" i="174" s="1"/>
  <c r="F19" s="1"/>
  <c r="J63" i="163"/>
  <c r="J151"/>
  <c r="E149"/>
  <c r="C9" i="174" s="1"/>
  <c r="C7" s="1"/>
  <c r="G5" i="163"/>
  <c r="E11" i="174" s="1"/>
  <c r="J6" i="163"/>
  <c r="J165"/>
  <c r="J164" s="1"/>
  <c r="H23" i="174" s="1"/>
  <c r="G164" i="163"/>
  <c r="E23" i="174" s="1"/>
  <c r="E22" s="1"/>
  <c r="J130" i="163"/>
  <c r="E129"/>
  <c r="C18" i="174" s="1"/>
  <c r="J92" i="163"/>
  <c r="J85" s="1"/>
  <c r="H15" i="174" s="1"/>
  <c r="G85" i="163"/>
  <c r="E15" i="174" s="1"/>
  <c r="J154" i="163"/>
  <c r="I120"/>
  <c r="G17" i="174" s="1"/>
  <c r="I5" i="163"/>
  <c r="G11" i="174" s="1"/>
  <c r="J149" i="163"/>
  <c r="H9" i="174" s="1"/>
  <c r="J138" i="163"/>
  <c r="H8" i="174" s="1"/>
  <c r="I34" i="163"/>
  <c r="G12" i="174" s="1"/>
  <c r="J8" i="163"/>
  <c r="F106"/>
  <c r="D16" i="174" s="1"/>
  <c r="D14" s="1"/>
  <c r="J107" i="163"/>
  <c r="J106" s="1"/>
  <c r="H16" i="174" s="1"/>
  <c r="J206" i="163"/>
  <c r="F204"/>
  <c r="D27" i="174" s="1"/>
  <c r="D22" s="1"/>
  <c r="G129" i="163"/>
  <c r="E18" i="174" s="1"/>
  <c r="J131" i="163"/>
  <c r="J205"/>
  <c r="J204" s="1"/>
  <c r="H27" i="174" s="1"/>
  <c r="H204" i="163"/>
  <c r="F27" i="174" s="1"/>
  <c r="F22" s="1"/>
  <c r="J53" i="163"/>
  <c r="J52" s="1"/>
  <c r="H13" i="174" s="1"/>
  <c r="G52" i="163"/>
  <c r="E13" i="174" s="1"/>
  <c r="F62" i="163"/>
  <c r="D20" i="174" s="1"/>
  <c r="D19" s="1"/>
  <c r="J64" i="163"/>
  <c r="H129"/>
  <c r="F18" i="174" s="1"/>
  <c r="J133" i="163"/>
  <c r="J120"/>
  <c r="H17" i="174" s="1"/>
  <c r="J34" i="163"/>
  <c r="H12" i="174" s="1"/>
  <c r="E5" i="163"/>
  <c r="C11" i="174" s="1"/>
  <c r="C10" s="1"/>
  <c r="I62" i="163"/>
  <c r="G20" i="174" s="1"/>
  <c r="G19" s="1"/>
  <c r="E85" i="163"/>
  <c r="C15" i="174" s="1"/>
  <c r="R109" i="157"/>
  <c r="T109"/>
  <c r="P51" i="158"/>
  <c r="Q109" i="157"/>
  <c r="S109"/>
  <c r="W109"/>
  <c r="Q51"/>
  <c r="V160"/>
  <c r="O160"/>
  <c r="Q164"/>
  <c r="Q166" s="1"/>
  <c r="Q161"/>
  <c r="Q163" s="1"/>
  <c r="Q109" i="158"/>
  <c r="V109"/>
  <c r="P109"/>
  <c r="R109"/>
  <c r="T109"/>
  <c r="T160" i="166"/>
  <c r="Q51" i="158"/>
  <c r="T51"/>
  <c r="R51"/>
  <c r="V51"/>
  <c r="P160" i="165"/>
  <c r="N160" i="164"/>
  <c r="R160"/>
  <c r="P160"/>
  <c r="O160" i="165"/>
  <c r="P160" i="166"/>
  <c r="R160" i="165"/>
  <c r="N160" i="166"/>
  <c r="O160"/>
  <c r="T160" i="165"/>
  <c r="Q160"/>
  <c r="U51" i="157"/>
  <c r="T51"/>
  <c r="R51"/>
  <c r="W51"/>
  <c r="Q160" i="166"/>
  <c r="O160" i="164"/>
  <c r="T160"/>
  <c r="R160" i="166"/>
  <c r="Q160" i="164"/>
  <c r="M160" i="166"/>
  <c r="N6" i="165"/>
  <c r="N160" s="1"/>
  <c r="M160"/>
  <c r="V125" i="158"/>
  <c r="S125"/>
  <c r="P125"/>
  <c r="R125"/>
  <c r="Q125"/>
  <c r="T125"/>
  <c r="S102"/>
  <c r="T102"/>
  <c r="R102"/>
  <c r="P102"/>
  <c r="V102"/>
  <c r="Q102"/>
  <c r="O160"/>
  <c r="W5" i="157"/>
  <c r="P160"/>
  <c r="Q125"/>
  <c r="U125"/>
  <c r="R125"/>
  <c r="T125"/>
  <c r="S125"/>
  <c r="W125"/>
  <c r="R102"/>
  <c r="Q102"/>
  <c r="U102"/>
  <c r="T102"/>
  <c r="S102"/>
  <c r="W102"/>
  <c r="G14" i="174" l="1"/>
  <c r="J5" i="163"/>
  <c r="H11" i="174" s="1"/>
  <c r="H10" s="1"/>
  <c r="J62" i="163"/>
  <c r="H20" i="174" s="1"/>
  <c r="H19" s="1"/>
  <c r="D28"/>
  <c r="E14"/>
  <c r="C14"/>
  <c r="C28" s="1"/>
  <c r="F14"/>
  <c r="F28" s="1"/>
  <c r="H7"/>
  <c r="J129" i="163"/>
  <c r="H18" i="174" s="1"/>
  <c r="H14" s="1"/>
  <c r="E10"/>
  <c r="G10"/>
  <c r="G28" s="1"/>
  <c r="H22"/>
  <c r="Q167" i="157"/>
  <c r="Q169" s="1"/>
  <c r="T160" i="158"/>
  <c r="R160"/>
  <c r="R160" i="157"/>
  <c r="S160" i="158"/>
  <c r="P160"/>
  <c r="V160"/>
  <c r="T160" i="157"/>
  <c r="U160"/>
  <c r="S160"/>
  <c r="W160"/>
  <c r="Q160"/>
  <c r="Q160" i="158"/>
  <c r="E28" i="174" l="1"/>
  <c r="H29" s="1"/>
  <c r="H28"/>
  <c r="I22" s="1"/>
  <c r="J160" i="150"/>
  <c r="K160"/>
  <c r="L160"/>
  <c r="M160"/>
  <c r="N160"/>
  <c r="I14" i="174" l="1"/>
  <c r="I7"/>
  <c r="I28"/>
  <c r="I10"/>
  <c r="I19"/>
  <c r="O160" i="150"/>
</calcChain>
</file>

<file path=xl/comments1.xml><?xml version="1.0" encoding="utf-8"?>
<comments xmlns="http://schemas.openxmlformats.org/spreadsheetml/2006/main">
  <authors>
    <author>Angelo SOARES DE CEITA</author>
  </authors>
  <commentList>
    <comment ref="C15" authorId="0">
      <text>
        <r>
          <rPr>
            <b/>
            <sz val="9"/>
            <color indexed="81"/>
            <rFont val="Tahoma"/>
            <family val="2"/>
          </rPr>
          <t>Angelo SOARES DE CEITA:</t>
        </r>
        <r>
          <rPr>
            <sz val="9"/>
            <color indexed="81"/>
            <rFont val="Tahoma"/>
            <family val="2"/>
          </rPr>
          <t xml:space="preserve">
Custos indexados na activ 1.1.11</t>
        </r>
      </text>
    </comment>
    <comment ref="K19" authorId="0">
      <text>
        <r>
          <rPr>
            <b/>
            <sz val="9"/>
            <color indexed="81"/>
            <rFont val="Tahoma"/>
            <family val="2"/>
          </rPr>
          <t>Angelo SOARES DE CEITA:</t>
        </r>
        <r>
          <rPr>
            <sz val="9"/>
            <color indexed="81"/>
            <rFont val="Tahoma"/>
            <family val="2"/>
          </rPr>
          <t xml:space="preserve">
Valor proveniente do Ano 2013</t>
        </r>
      </text>
    </comment>
    <comment ref="C23" authorId="0">
      <text>
        <r>
          <rPr>
            <b/>
            <sz val="9"/>
            <color indexed="81"/>
            <rFont val="Tahoma"/>
            <family val="2"/>
          </rPr>
          <t>Angelo SOARES DE CEITA:</t>
        </r>
        <r>
          <rPr>
            <sz val="9"/>
            <color indexed="81"/>
            <rFont val="Tahoma"/>
            <family val="2"/>
          </rPr>
          <t xml:space="preserve">
GAP = 1 técnico</t>
        </r>
      </text>
    </comment>
    <comment ref="O29" authorId="0">
      <text>
        <r>
          <rPr>
            <b/>
            <sz val="9"/>
            <color indexed="81"/>
            <rFont val="Tahoma"/>
            <family val="2"/>
          </rPr>
          <t>Angelo SOARES DE CEITA:</t>
        </r>
        <r>
          <rPr>
            <sz val="9"/>
            <color indexed="81"/>
            <rFont val="Tahoma"/>
            <family val="2"/>
          </rPr>
          <t xml:space="preserve">
Total = 23922 derivado de novos cálculos - </t>
        </r>
        <r>
          <rPr>
            <i/>
            <sz val="9"/>
            <color indexed="81"/>
            <rFont val="Tahoma"/>
            <family val="2"/>
          </rPr>
          <t>novas quantidades</t>
        </r>
      </text>
    </comment>
    <comment ref="C47" authorId="0">
      <text>
        <r>
          <rPr>
            <b/>
            <sz val="9"/>
            <color indexed="81"/>
            <rFont val="Tahoma"/>
            <family val="2"/>
          </rPr>
          <t>Angelo SOARES DE CEITA: ver as recomendações Atelier S&amp;A CNE 11/2013</t>
        </r>
        <r>
          <rPr>
            <sz val="9"/>
            <color indexed="81"/>
            <rFont val="Tahoma"/>
            <family val="2"/>
          </rPr>
          <t xml:space="preserve">
</t>
        </r>
      </text>
    </comment>
    <comment ref="C113" authorId="0">
      <text>
        <r>
          <rPr>
            <b/>
            <sz val="9"/>
            <color indexed="81"/>
            <rFont val="Tahoma"/>
            <family val="2"/>
          </rPr>
          <t>Angelo SOARES DE CEITA:</t>
        </r>
        <r>
          <rPr>
            <sz val="9"/>
            <color indexed="81"/>
            <rFont val="Tahoma"/>
            <family val="2"/>
          </rPr>
          <t xml:space="preserve">
Custo Total: USD 8.190 coberto pelo PNLS</t>
        </r>
      </text>
    </comment>
    <comment ref="C114" authorId="0">
      <text>
        <r>
          <rPr>
            <b/>
            <sz val="9"/>
            <color indexed="81"/>
            <rFont val="Tahoma"/>
            <family val="2"/>
          </rPr>
          <t>Angelo SOARES DE CEITA:</t>
        </r>
        <r>
          <rPr>
            <sz val="9"/>
            <color indexed="81"/>
            <rFont val="Tahoma"/>
            <family val="2"/>
          </rPr>
          <t xml:space="preserve">
Custo Total: USD 40.000 coberto pelo PNLS</t>
        </r>
      </text>
    </comment>
    <comment ref="C131" authorId="0">
      <text>
        <r>
          <rPr>
            <b/>
            <sz val="9"/>
            <color indexed="81"/>
            <rFont val="Tahoma"/>
            <family val="2"/>
          </rPr>
          <t>Angelo SOARES DE CEITA:</t>
        </r>
        <r>
          <rPr>
            <sz val="9"/>
            <color indexed="81"/>
            <rFont val="Tahoma"/>
            <family val="2"/>
          </rPr>
          <t xml:space="preserve">Custos cobertos pelas actividades 4.4.1 e 4.4.1.1
</t>
        </r>
      </text>
    </comment>
    <comment ref="L133" authorId="0">
      <text>
        <r>
          <rPr>
            <b/>
            <sz val="9"/>
            <color indexed="81"/>
            <rFont val="Tahoma"/>
            <family val="2"/>
          </rPr>
          <t>Angelo SOARES DE CEITA:</t>
        </r>
        <r>
          <rPr>
            <sz val="9"/>
            <color indexed="81"/>
            <rFont val="Tahoma"/>
            <family val="2"/>
          </rPr>
          <t xml:space="preserve">
Valor proveniente de 2013</t>
        </r>
      </text>
    </comment>
  </commentList>
</comments>
</file>

<file path=xl/comments2.xml><?xml version="1.0" encoding="utf-8"?>
<comments xmlns="http://schemas.openxmlformats.org/spreadsheetml/2006/main">
  <authors>
    <author>Angelo SOARES DE CEITA</author>
    <author>Lexos(F)</author>
  </authors>
  <commentList>
    <comment ref="C15" authorId="0">
      <text>
        <r>
          <rPr>
            <b/>
            <sz val="9"/>
            <color indexed="81"/>
            <rFont val="Tahoma"/>
            <family val="2"/>
          </rPr>
          <t>Angelo SOARES DE CEITA:</t>
        </r>
        <r>
          <rPr>
            <sz val="9"/>
            <color indexed="81"/>
            <rFont val="Tahoma"/>
            <family val="2"/>
          </rPr>
          <t xml:space="preserve">
Custos indexados na activ 1.1.11</t>
        </r>
      </text>
    </comment>
    <comment ref="C23" authorId="0">
      <text>
        <r>
          <rPr>
            <b/>
            <sz val="9"/>
            <color indexed="81"/>
            <rFont val="Tahoma"/>
            <family val="2"/>
          </rPr>
          <t>Angelo SOARES DE CEITA:</t>
        </r>
        <r>
          <rPr>
            <sz val="9"/>
            <color indexed="81"/>
            <rFont val="Tahoma"/>
            <family val="2"/>
          </rPr>
          <t xml:space="preserve">
GAP = 1 técnico</t>
        </r>
      </text>
    </comment>
    <comment ref="P29" authorId="0">
      <text>
        <r>
          <rPr>
            <b/>
            <sz val="9"/>
            <color indexed="81"/>
            <rFont val="Tahoma"/>
            <family val="2"/>
          </rPr>
          <t>Angelo SOARES DE CEITA:</t>
        </r>
        <r>
          <rPr>
            <sz val="9"/>
            <color indexed="81"/>
            <rFont val="Tahoma"/>
            <family val="2"/>
          </rPr>
          <t xml:space="preserve">
Total = 23922 derivado de novos cálculos - </t>
        </r>
        <r>
          <rPr>
            <i/>
            <sz val="9"/>
            <color indexed="81"/>
            <rFont val="Tahoma"/>
            <family val="2"/>
          </rPr>
          <t>novas quantidades</t>
        </r>
      </text>
    </comment>
    <comment ref="C47" authorId="0">
      <text>
        <r>
          <rPr>
            <b/>
            <sz val="9"/>
            <color indexed="81"/>
            <rFont val="Tahoma"/>
            <family val="2"/>
          </rPr>
          <t>Angelo SOARES DE CEITA: ver as recomendações Atelier S&amp;A CNE 11/2013</t>
        </r>
        <r>
          <rPr>
            <sz val="9"/>
            <color indexed="81"/>
            <rFont val="Tahoma"/>
            <family val="2"/>
          </rPr>
          <t xml:space="preserve">
</t>
        </r>
      </text>
    </comment>
    <comment ref="C113" authorId="0">
      <text>
        <r>
          <rPr>
            <b/>
            <sz val="9"/>
            <color indexed="81"/>
            <rFont val="Tahoma"/>
            <family val="2"/>
          </rPr>
          <t>Angelo SOARES DE CEITA:</t>
        </r>
        <r>
          <rPr>
            <sz val="9"/>
            <color indexed="81"/>
            <rFont val="Tahoma"/>
            <family val="2"/>
          </rPr>
          <t xml:space="preserve">
Custo Total: USD 8.190 coberto pelo PNLS</t>
        </r>
      </text>
    </comment>
    <comment ref="C114" authorId="0">
      <text>
        <r>
          <rPr>
            <b/>
            <sz val="9"/>
            <color indexed="81"/>
            <rFont val="Tahoma"/>
            <family val="2"/>
          </rPr>
          <t>Angelo SOARES DE CEITA:</t>
        </r>
        <r>
          <rPr>
            <sz val="9"/>
            <color indexed="81"/>
            <rFont val="Tahoma"/>
            <family val="2"/>
          </rPr>
          <t xml:space="preserve">
Custo Total: USD 40.000 coberto pelo PNLS</t>
        </r>
      </text>
    </comment>
    <comment ref="M120" authorId="1">
      <text>
        <r>
          <rPr>
            <b/>
            <sz val="9"/>
            <color indexed="81"/>
            <rFont val="Tahoma"/>
            <family val="2"/>
          </rPr>
          <t>Lexos(F):</t>
        </r>
        <r>
          <rPr>
            <sz val="9"/>
            <color indexed="81"/>
            <rFont val="Tahoma"/>
            <family val="2"/>
          </rPr>
          <t xml:space="preserve">
1 participante será financiado pelo Brasil e outro pelo FG</t>
        </r>
      </text>
    </comment>
    <comment ref="C131" authorId="0">
      <text>
        <r>
          <rPr>
            <b/>
            <sz val="9"/>
            <color indexed="81"/>
            <rFont val="Tahoma"/>
            <family val="2"/>
          </rPr>
          <t>Angelo SOARES DE CEITA:</t>
        </r>
        <r>
          <rPr>
            <sz val="9"/>
            <color indexed="81"/>
            <rFont val="Tahoma"/>
            <family val="2"/>
          </rPr>
          <t xml:space="preserve">Custos cobertos pelas actividades 4.4.1 e 4.4.1.1
</t>
        </r>
      </text>
    </comment>
    <comment ref="M133" authorId="0">
      <text>
        <r>
          <rPr>
            <b/>
            <sz val="9"/>
            <color indexed="81"/>
            <rFont val="Tahoma"/>
            <family val="2"/>
          </rPr>
          <t>Angelo SOARES DE CEITA:</t>
        </r>
        <r>
          <rPr>
            <sz val="9"/>
            <color indexed="81"/>
            <rFont val="Tahoma"/>
            <family val="2"/>
          </rPr>
          <t xml:space="preserve">
Valor proveniente de 2013</t>
        </r>
      </text>
    </comment>
  </commentList>
</comments>
</file>

<file path=xl/comments3.xml><?xml version="1.0" encoding="utf-8"?>
<comments xmlns="http://schemas.openxmlformats.org/spreadsheetml/2006/main">
  <authors>
    <author>VALTER</author>
    <author>PNLT</author>
  </authors>
  <commentList>
    <comment ref="L1299" authorId="0">
      <text>
        <r>
          <rPr>
            <b/>
            <sz val="9"/>
            <color indexed="81"/>
            <rFont val="Tahoma"/>
            <family val="2"/>
          </rPr>
          <t>fichas +tinteiro</t>
        </r>
      </text>
    </comment>
    <comment ref="E1404" authorId="1">
      <text>
        <r>
          <rPr>
            <b/>
            <sz val="10"/>
            <color indexed="81"/>
            <rFont val="Times New Roman"/>
            <family val="1"/>
          </rPr>
          <t>En simultaneio com a Act. 7.2  (custos indexados)</t>
        </r>
      </text>
    </comment>
  </commentList>
</comments>
</file>

<file path=xl/comments4.xml><?xml version="1.0" encoding="utf-8"?>
<comments xmlns="http://schemas.openxmlformats.org/spreadsheetml/2006/main">
  <authors>
    <author>Angelo SOARES DE CEITA</author>
  </authors>
  <commentList>
    <comment ref="C16" authorId="0">
      <text>
        <r>
          <rPr>
            <b/>
            <sz val="9"/>
            <color indexed="81"/>
            <rFont val="Tahoma"/>
            <family val="2"/>
          </rPr>
          <t>Angelo SOARES DE CEITA:</t>
        </r>
        <r>
          <rPr>
            <sz val="9"/>
            <color indexed="81"/>
            <rFont val="Tahoma"/>
            <family val="2"/>
          </rPr>
          <t xml:space="preserve">
Custos indexados na activ 1.1.11</t>
        </r>
      </text>
    </comment>
    <comment ref="C28" authorId="0">
      <text>
        <r>
          <rPr>
            <b/>
            <sz val="9"/>
            <color indexed="81"/>
            <rFont val="Tahoma"/>
            <family val="2"/>
          </rPr>
          <t>Angelo SOARES DE CEITA: ver as recomendações Atelier S&amp;A CNE 11/2013</t>
        </r>
        <r>
          <rPr>
            <sz val="9"/>
            <color indexed="81"/>
            <rFont val="Tahoma"/>
            <family val="2"/>
          </rPr>
          <t xml:space="preserve">
</t>
        </r>
      </text>
    </comment>
    <comment ref="E35" authorId="0">
      <text>
        <r>
          <rPr>
            <b/>
            <sz val="9"/>
            <color indexed="81"/>
            <rFont val="Tahoma"/>
            <family val="2"/>
          </rPr>
          <t>Angelo SOARES DE CEITA:</t>
        </r>
        <r>
          <rPr>
            <sz val="9"/>
            <color indexed="81"/>
            <rFont val="Tahoma"/>
            <family val="2"/>
          </rPr>
          <t xml:space="preserve">
Total = 23922 derivado de novos cálculos - </t>
        </r>
        <r>
          <rPr>
            <i/>
            <sz val="9"/>
            <color indexed="81"/>
            <rFont val="Tahoma"/>
            <family val="2"/>
          </rPr>
          <t>novas quantidades</t>
        </r>
      </text>
    </comment>
    <comment ref="C53" authorId="0">
      <text>
        <r>
          <rPr>
            <b/>
            <sz val="9"/>
            <color indexed="81"/>
            <rFont val="Tahoma"/>
            <family val="2"/>
          </rPr>
          <t>Angelo SOARES DE CEITA:</t>
        </r>
        <r>
          <rPr>
            <sz val="9"/>
            <color indexed="81"/>
            <rFont val="Tahoma"/>
            <family val="2"/>
          </rPr>
          <t xml:space="preserve">
GAP = 1 técnico</t>
        </r>
      </text>
    </comment>
    <comment ref="C144" authorId="0">
      <text>
        <r>
          <rPr>
            <b/>
            <sz val="9"/>
            <color indexed="81"/>
            <rFont val="Tahoma"/>
            <family val="2"/>
          </rPr>
          <t>Angelo SOARES DE CEITA:</t>
        </r>
        <r>
          <rPr>
            <sz val="9"/>
            <color indexed="81"/>
            <rFont val="Tahoma"/>
            <family val="2"/>
          </rPr>
          <t xml:space="preserve">
Custo Total: USD 8.190 coberto pelo PNLS</t>
        </r>
      </text>
    </comment>
    <comment ref="C145" authorId="0">
      <text>
        <r>
          <rPr>
            <b/>
            <sz val="9"/>
            <color indexed="81"/>
            <rFont val="Tahoma"/>
            <family val="2"/>
          </rPr>
          <t>Angelo SOARES DE CEITA:</t>
        </r>
        <r>
          <rPr>
            <sz val="9"/>
            <color indexed="81"/>
            <rFont val="Tahoma"/>
            <family val="2"/>
          </rPr>
          <t xml:space="preserve">
Custo Total: USD 40.000 coberto pelo PNLS</t>
        </r>
      </text>
    </comment>
    <comment ref="C170" authorId="0">
      <text>
        <r>
          <rPr>
            <b/>
            <sz val="9"/>
            <color indexed="81"/>
            <rFont val="Tahoma"/>
            <family val="2"/>
          </rPr>
          <t>Angelo SOARES DE CEITA:</t>
        </r>
        <r>
          <rPr>
            <sz val="9"/>
            <color indexed="81"/>
            <rFont val="Tahoma"/>
            <family val="2"/>
          </rPr>
          <t xml:space="preserve">Custos cobertos pelas actividades 4.4.1 e 4.4.1.1
</t>
        </r>
      </text>
    </comment>
  </commentList>
</comments>
</file>

<file path=xl/comments5.xml><?xml version="1.0" encoding="utf-8"?>
<comments xmlns="http://schemas.openxmlformats.org/spreadsheetml/2006/main">
  <authors>
    <author>Angelo SOARES DE CEITA</author>
    <author>Lexos(F)</author>
  </authors>
  <commentList>
    <comment ref="C15" authorId="0">
      <text>
        <r>
          <rPr>
            <b/>
            <sz val="9"/>
            <color indexed="81"/>
            <rFont val="Tahoma"/>
            <family val="2"/>
          </rPr>
          <t>Angelo SOARES DE CEITA:</t>
        </r>
        <r>
          <rPr>
            <sz val="9"/>
            <color indexed="81"/>
            <rFont val="Tahoma"/>
            <family val="2"/>
          </rPr>
          <t xml:space="preserve">
Custos indexados na activ 1.1.11</t>
        </r>
      </text>
    </comment>
    <comment ref="K19" authorId="0">
      <text>
        <r>
          <rPr>
            <b/>
            <sz val="9"/>
            <color indexed="81"/>
            <rFont val="Tahoma"/>
            <family val="2"/>
          </rPr>
          <t>Angelo SOARES DE CEITA:</t>
        </r>
        <r>
          <rPr>
            <sz val="9"/>
            <color indexed="81"/>
            <rFont val="Tahoma"/>
            <family val="2"/>
          </rPr>
          <t xml:space="preserve">
Valor proveniente do Ano 2013</t>
        </r>
      </text>
    </comment>
    <comment ref="C23" authorId="0">
      <text>
        <r>
          <rPr>
            <b/>
            <sz val="9"/>
            <color indexed="81"/>
            <rFont val="Tahoma"/>
            <family val="2"/>
          </rPr>
          <t>Angelo SOARES DE CEITA:</t>
        </r>
        <r>
          <rPr>
            <sz val="9"/>
            <color indexed="81"/>
            <rFont val="Tahoma"/>
            <family val="2"/>
          </rPr>
          <t xml:space="preserve">
GAP = 1 técnico</t>
        </r>
      </text>
    </comment>
    <comment ref="O29" authorId="0">
      <text>
        <r>
          <rPr>
            <b/>
            <sz val="9"/>
            <color indexed="81"/>
            <rFont val="Tahoma"/>
            <family val="2"/>
          </rPr>
          <t>Angelo SOARES DE CEITA:</t>
        </r>
        <r>
          <rPr>
            <sz val="9"/>
            <color indexed="81"/>
            <rFont val="Tahoma"/>
            <family val="2"/>
          </rPr>
          <t xml:space="preserve">
Total = 23922 derivado de novos cálculos - </t>
        </r>
        <r>
          <rPr>
            <i/>
            <sz val="9"/>
            <color indexed="81"/>
            <rFont val="Tahoma"/>
            <family val="2"/>
          </rPr>
          <t>novas quantidades</t>
        </r>
      </text>
    </comment>
    <comment ref="C47" authorId="0">
      <text>
        <r>
          <rPr>
            <b/>
            <sz val="9"/>
            <color indexed="81"/>
            <rFont val="Tahoma"/>
            <family val="2"/>
          </rPr>
          <t>Angelo SOARES DE CEITA: ver as recomendações Atelier S&amp;A CNE 11/2013</t>
        </r>
        <r>
          <rPr>
            <sz val="9"/>
            <color indexed="81"/>
            <rFont val="Tahoma"/>
            <family val="2"/>
          </rPr>
          <t xml:space="preserve">
</t>
        </r>
      </text>
    </comment>
    <comment ref="C113" authorId="0">
      <text>
        <r>
          <rPr>
            <b/>
            <sz val="9"/>
            <color indexed="81"/>
            <rFont val="Tahoma"/>
            <family val="2"/>
          </rPr>
          <t>Angelo SOARES DE CEITA:</t>
        </r>
        <r>
          <rPr>
            <sz val="9"/>
            <color indexed="81"/>
            <rFont val="Tahoma"/>
            <family val="2"/>
          </rPr>
          <t xml:space="preserve">
Custo Total: USD 8.190 coberto pelo PNLS</t>
        </r>
      </text>
    </comment>
    <comment ref="C114" authorId="0">
      <text>
        <r>
          <rPr>
            <b/>
            <sz val="9"/>
            <color indexed="81"/>
            <rFont val="Tahoma"/>
            <family val="2"/>
          </rPr>
          <t>Angelo SOARES DE CEITA:</t>
        </r>
        <r>
          <rPr>
            <sz val="9"/>
            <color indexed="81"/>
            <rFont val="Tahoma"/>
            <family val="2"/>
          </rPr>
          <t xml:space="preserve">
Custo Total: USD 40.000 coberto pelo PNLS</t>
        </r>
      </text>
    </comment>
    <comment ref="L120" authorId="1">
      <text>
        <r>
          <rPr>
            <b/>
            <sz val="9"/>
            <color indexed="81"/>
            <rFont val="Tahoma"/>
            <family val="2"/>
          </rPr>
          <t>Lexos(F):</t>
        </r>
        <r>
          <rPr>
            <sz val="9"/>
            <color indexed="81"/>
            <rFont val="Tahoma"/>
            <family val="2"/>
          </rPr>
          <t xml:space="preserve">
1 participante será financiado pelo Brasil e outro pelo FG</t>
        </r>
      </text>
    </comment>
    <comment ref="C131" authorId="0">
      <text>
        <r>
          <rPr>
            <b/>
            <sz val="9"/>
            <color indexed="81"/>
            <rFont val="Tahoma"/>
            <family val="2"/>
          </rPr>
          <t>Angelo SOARES DE CEITA:</t>
        </r>
        <r>
          <rPr>
            <sz val="9"/>
            <color indexed="81"/>
            <rFont val="Tahoma"/>
            <family val="2"/>
          </rPr>
          <t xml:space="preserve">Custos cobertos pelas actividades 4.4.1 e 4.4.1.1
</t>
        </r>
      </text>
    </comment>
    <comment ref="L133" authorId="0">
      <text>
        <r>
          <rPr>
            <b/>
            <sz val="9"/>
            <color indexed="81"/>
            <rFont val="Tahoma"/>
            <family val="2"/>
          </rPr>
          <t>Angelo SOARES DE CEITA:</t>
        </r>
        <r>
          <rPr>
            <sz val="9"/>
            <color indexed="81"/>
            <rFont val="Tahoma"/>
            <family val="2"/>
          </rPr>
          <t xml:space="preserve">
Valor proveniente de 2013</t>
        </r>
      </text>
    </comment>
  </commentList>
</comments>
</file>

<file path=xl/comments6.xml><?xml version="1.0" encoding="utf-8"?>
<comments xmlns="http://schemas.openxmlformats.org/spreadsheetml/2006/main">
  <authors>
    <author>Angelo SOARES DE CEITA</author>
    <author>Lexos(F)</author>
  </authors>
  <commentList>
    <comment ref="C15" authorId="0">
      <text>
        <r>
          <rPr>
            <b/>
            <sz val="9"/>
            <color indexed="81"/>
            <rFont val="Tahoma"/>
            <family val="2"/>
          </rPr>
          <t>Angelo SOARES DE CEITA:</t>
        </r>
        <r>
          <rPr>
            <sz val="9"/>
            <color indexed="81"/>
            <rFont val="Tahoma"/>
            <family val="2"/>
          </rPr>
          <t xml:space="preserve">
Custos indexados na activ 1.1.11</t>
        </r>
      </text>
    </comment>
    <comment ref="C23" authorId="0">
      <text>
        <r>
          <rPr>
            <b/>
            <sz val="9"/>
            <color indexed="81"/>
            <rFont val="Tahoma"/>
            <family val="2"/>
          </rPr>
          <t>Angelo SOARES DE CEITA:</t>
        </r>
        <r>
          <rPr>
            <sz val="9"/>
            <color indexed="81"/>
            <rFont val="Tahoma"/>
            <family val="2"/>
          </rPr>
          <t xml:space="preserve">
GAP = 1 técnico</t>
        </r>
      </text>
    </comment>
    <comment ref="M29" authorId="0">
      <text>
        <r>
          <rPr>
            <b/>
            <sz val="9"/>
            <color indexed="81"/>
            <rFont val="Tahoma"/>
            <family val="2"/>
          </rPr>
          <t>Angelo SOARES DE CEITA:</t>
        </r>
        <r>
          <rPr>
            <sz val="9"/>
            <color indexed="81"/>
            <rFont val="Tahoma"/>
            <family val="2"/>
          </rPr>
          <t xml:space="preserve">
Total = 23922 derivado de novos cálculos - </t>
        </r>
        <r>
          <rPr>
            <i/>
            <sz val="9"/>
            <color indexed="81"/>
            <rFont val="Tahoma"/>
            <family val="2"/>
          </rPr>
          <t>novas quantidades</t>
        </r>
      </text>
    </comment>
    <comment ref="C47" authorId="0">
      <text>
        <r>
          <rPr>
            <b/>
            <sz val="9"/>
            <color indexed="81"/>
            <rFont val="Tahoma"/>
            <family val="2"/>
          </rPr>
          <t>Angelo SOARES DE CEITA: ver as recomendações Atelier S&amp;A CNE 11/2013</t>
        </r>
        <r>
          <rPr>
            <sz val="9"/>
            <color indexed="81"/>
            <rFont val="Tahoma"/>
            <family val="2"/>
          </rPr>
          <t xml:space="preserve">
</t>
        </r>
      </text>
    </comment>
    <comment ref="C113" authorId="0">
      <text>
        <r>
          <rPr>
            <b/>
            <sz val="9"/>
            <color indexed="81"/>
            <rFont val="Tahoma"/>
            <family val="2"/>
          </rPr>
          <t>Angelo SOARES DE CEITA:</t>
        </r>
        <r>
          <rPr>
            <sz val="9"/>
            <color indexed="81"/>
            <rFont val="Tahoma"/>
            <family val="2"/>
          </rPr>
          <t xml:space="preserve">
Custo Total: USD 8.190 coberto pelo PNLS</t>
        </r>
      </text>
    </comment>
    <comment ref="C114" authorId="0">
      <text>
        <r>
          <rPr>
            <b/>
            <sz val="9"/>
            <color indexed="81"/>
            <rFont val="Tahoma"/>
            <family val="2"/>
          </rPr>
          <t>Angelo SOARES DE CEITA:</t>
        </r>
        <r>
          <rPr>
            <sz val="9"/>
            <color indexed="81"/>
            <rFont val="Tahoma"/>
            <family val="2"/>
          </rPr>
          <t xml:space="preserve">
Custo Total: USD 40.000 coberto pelo PNLS</t>
        </r>
      </text>
    </comment>
    <comment ref="J120" authorId="1">
      <text>
        <r>
          <rPr>
            <b/>
            <sz val="9"/>
            <color indexed="81"/>
            <rFont val="Tahoma"/>
            <family val="2"/>
          </rPr>
          <t>Lexos(F):</t>
        </r>
        <r>
          <rPr>
            <sz val="9"/>
            <color indexed="81"/>
            <rFont val="Tahoma"/>
            <family val="2"/>
          </rPr>
          <t xml:space="preserve">
1 participante será financiado pelo Brasil e outro pelo FG</t>
        </r>
      </text>
    </comment>
    <comment ref="C131" authorId="0">
      <text>
        <r>
          <rPr>
            <b/>
            <sz val="9"/>
            <color indexed="81"/>
            <rFont val="Tahoma"/>
            <family val="2"/>
          </rPr>
          <t>Angelo SOARES DE CEITA:</t>
        </r>
        <r>
          <rPr>
            <sz val="9"/>
            <color indexed="81"/>
            <rFont val="Tahoma"/>
            <family val="2"/>
          </rPr>
          <t xml:space="preserve">Custos cobertos pelas actividades 4.4.1 e 4.4.1.1
</t>
        </r>
      </text>
    </comment>
    <comment ref="J133" authorId="0">
      <text>
        <r>
          <rPr>
            <b/>
            <sz val="9"/>
            <color indexed="81"/>
            <rFont val="Tahoma"/>
            <family val="2"/>
          </rPr>
          <t>Angelo SOARES DE CEITA:</t>
        </r>
        <r>
          <rPr>
            <sz val="9"/>
            <color indexed="81"/>
            <rFont val="Tahoma"/>
            <family val="2"/>
          </rPr>
          <t xml:space="preserve">
Valor proveniente de 2013</t>
        </r>
      </text>
    </comment>
  </commentList>
</comments>
</file>

<file path=xl/comments7.xml><?xml version="1.0" encoding="utf-8"?>
<comments xmlns="http://schemas.openxmlformats.org/spreadsheetml/2006/main">
  <authors>
    <author>Angelo SOARES DE CEITA</author>
    <author>Lexos(F)</author>
  </authors>
  <commentList>
    <comment ref="C15" authorId="0">
      <text>
        <r>
          <rPr>
            <b/>
            <sz val="9"/>
            <color indexed="81"/>
            <rFont val="Tahoma"/>
            <family val="2"/>
          </rPr>
          <t>Angelo SOARES DE CEITA:</t>
        </r>
        <r>
          <rPr>
            <sz val="9"/>
            <color indexed="81"/>
            <rFont val="Tahoma"/>
            <family val="2"/>
          </rPr>
          <t xml:space="preserve">
Custos indexados na activ 1.1.11</t>
        </r>
      </text>
    </comment>
    <comment ref="C23" authorId="0">
      <text>
        <r>
          <rPr>
            <b/>
            <sz val="9"/>
            <color indexed="81"/>
            <rFont val="Tahoma"/>
            <family val="2"/>
          </rPr>
          <t>Angelo SOARES DE CEITA:</t>
        </r>
        <r>
          <rPr>
            <sz val="9"/>
            <color indexed="81"/>
            <rFont val="Tahoma"/>
            <family val="2"/>
          </rPr>
          <t xml:space="preserve">
GAP = 1 técnico</t>
        </r>
      </text>
    </comment>
    <comment ref="M29" authorId="0">
      <text>
        <r>
          <rPr>
            <b/>
            <sz val="9"/>
            <color indexed="81"/>
            <rFont val="Tahoma"/>
            <family val="2"/>
          </rPr>
          <t>Angelo SOARES DE CEITA:</t>
        </r>
        <r>
          <rPr>
            <sz val="9"/>
            <color indexed="81"/>
            <rFont val="Tahoma"/>
            <family val="2"/>
          </rPr>
          <t xml:space="preserve">
Total = 23922 derivado de novos cálculos - </t>
        </r>
        <r>
          <rPr>
            <i/>
            <sz val="9"/>
            <color indexed="81"/>
            <rFont val="Tahoma"/>
            <family val="2"/>
          </rPr>
          <t>novas quantidades</t>
        </r>
      </text>
    </comment>
    <comment ref="C47" authorId="0">
      <text>
        <r>
          <rPr>
            <b/>
            <sz val="9"/>
            <color indexed="81"/>
            <rFont val="Tahoma"/>
            <family val="2"/>
          </rPr>
          <t>Angelo SOARES DE CEITA: ver as recomendações Atelier S&amp;A CNE 11/2013</t>
        </r>
        <r>
          <rPr>
            <sz val="9"/>
            <color indexed="81"/>
            <rFont val="Tahoma"/>
            <family val="2"/>
          </rPr>
          <t xml:space="preserve">
</t>
        </r>
      </text>
    </comment>
    <comment ref="C113" authorId="0">
      <text>
        <r>
          <rPr>
            <b/>
            <sz val="9"/>
            <color indexed="81"/>
            <rFont val="Tahoma"/>
            <family val="2"/>
          </rPr>
          <t>Angelo SOARES DE CEITA:</t>
        </r>
        <r>
          <rPr>
            <sz val="9"/>
            <color indexed="81"/>
            <rFont val="Tahoma"/>
            <family val="2"/>
          </rPr>
          <t xml:space="preserve">
Custo Total: USD 8.190 coberto pelo PNLS</t>
        </r>
      </text>
    </comment>
    <comment ref="C114" authorId="0">
      <text>
        <r>
          <rPr>
            <b/>
            <sz val="9"/>
            <color indexed="81"/>
            <rFont val="Tahoma"/>
            <family val="2"/>
          </rPr>
          <t>Angelo SOARES DE CEITA:</t>
        </r>
        <r>
          <rPr>
            <sz val="9"/>
            <color indexed="81"/>
            <rFont val="Tahoma"/>
            <family val="2"/>
          </rPr>
          <t xml:space="preserve">
Custo Total: USD 40.000 coberto pelo PNLS</t>
        </r>
      </text>
    </comment>
    <comment ref="J120" authorId="1">
      <text>
        <r>
          <rPr>
            <b/>
            <sz val="9"/>
            <color indexed="81"/>
            <rFont val="Tahoma"/>
            <family val="2"/>
          </rPr>
          <t>Lexos(F):</t>
        </r>
        <r>
          <rPr>
            <sz val="9"/>
            <color indexed="81"/>
            <rFont val="Tahoma"/>
            <family val="2"/>
          </rPr>
          <t xml:space="preserve">
1 participante será financiado pelo Brasil e outro pelo FG</t>
        </r>
      </text>
    </comment>
    <comment ref="C131" authorId="0">
      <text>
        <r>
          <rPr>
            <b/>
            <sz val="9"/>
            <color indexed="81"/>
            <rFont val="Tahoma"/>
            <family val="2"/>
          </rPr>
          <t>Angelo SOARES DE CEITA:</t>
        </r>
        <r>
          <rPr>
            <sz val="9"/>
            <color indexed="81"/>
            <rFont val="Tahoma"/>
            <family val="2"/>
          </rPr>
          <t xml:space="preserve">Custos cobertos pelas actividades 4.4.1 e 4.4.1.1
</t>
        </r>
      </text>
    </comment>
    <comment ref="J133" authorId="0">
      <text>
        <r>
          <rPr>
            <b/>
            <sz val="9"/>
            <color indexed="81"/>
            <rFont val="Tahoma"/>
            <family val="2"/>
          </rPr>
          <t>Angelo SOARES DE CEITA:</t>
        </r>
        <r>
          <rPr>
            <sz val="9"/>
            <color indexed="81"/>
            <rFont val="Tahoma"/>
            <family val="2"/>
          </rPr>
          <t xml:space="preserve">
Valor proveniente de 2013</t>
        </r>
      </text>
    </comment>
  </commentList>
</comments>
</file>

<file path=xl/comments8.xml><?xml version="1.0" encoding="utf-8"?>
<comments xmlns="http://schemas.openxmlformats.org/spreadsheetml/2006/main">
  <authors>
    <author>Angelo SOARES DE CEITA</author>
    <author>Lexos(F)</author>
  </authors>
  <commentList>
    <comment ref="C15" authorId="0">
      <text>
        <r>
          <rPr>
            <b/>
            <sz val="9"/>
            <color indexed="81"/>
            <rFont val="Tahoma"/>
            <family val="2"/>
          </rPr>
          <t>Angelo SOARES DE CEITA:</t>
        </r>
        <r>
          <rPr>
            <sz val="9"/>
            <color indexed="81"/>
            <rFont val="Tahoma"/>
            <family val="2"/>
          </rPr>
          <t xml:space="preserve">
Custos indexados na activ 1.1.11</t>
        </r>
      </text>
    </comment>
    <comment ref="C23" authorId="0">
      <text>
        <r>
          <rPr>
            <b/>
            <sz val="9"/>
            <color indexed="81"/>
            <rFont val="Tahoma"/>
            <family val="2"/>
          </rPr>
          <t>Angelo SOARES DE CEITA:</t>
        </r>
        <r>
          <rPr>
            <sz val="9"/>
            <color indexed="81"/>
            <rFont val="Tahoma"/>
            <family val="2"/>
          </rPr>
          <t xml:space="preserve">
GAP = 1 técnico</t>
        </r>
      </text>
    </comment>
    <comment ref="M29" authorId="0">
      <text>
        <r>
          <rPr>
            <b/>
            <sz val="9"/>
            <color indexed="81"/>
            <rFont val="Tahoma"/>
            <family val="2"/>
          </rPr>
          <t>Angelo SOARES DE CEITA:</t>
        </r>
        <r>
          <rPr>
            <sz val="9"/>
            <color indexed="81"/>
            <rFont val="Tahoma"/>
            <family val="2"/>
          </rPr>
          <t xml:space="preserve">
Total = 23922 derivado de novos cálculos - </t>
        </r>
        <r>
          <rPr>
            <i/>
            <sz val="9"/>
            <color indexed="81"/>
            <rFont val="Tahoma"/>
            <family val="2"/>
          </rPr>
          <t>novas quantidades</t>
        </r>
      </text>
    </comment>
    <comment ref="C47" authorId="0">
      <text>
        <r>
          <rPr>
            <b/>
            <sz val="9"/>
            <color indexed="81"/>
            <rFont val="Tahoma"/>
            <family val="2"/>
          </rPr>
          <t>Angelo SOARES DE CEITA: ver as recomendações Atelier S&amp;A CNE 11/2013</t>
        </r>
        <r>
          <rPr>
            <sz val="9"/>
            <color indexed="81"/>
            <rFont val="Tahoma"/>
            <family val="2"/>
          </rPr>
          <t xml:space="preserve">
</t>
        </r>
      </text>
    </comment>
    <comment ref="C113" authorId="0">
      <text>
        <r>
          <rPr>
            <b/>
            <sz val="9"/>
            <color indexed="81"/>
            <rFont val="Tahoma"/>
            <family val="2"/>
          </rPr>
          <t>Angelo SOARES DE CEITA:</t>
        </r>
        <r>
          <rPr>
            <sz val="9"/>
            <color indexed="81"/>
            <rFont val="Tahoma"/>
            <family val="2"/>
          </rPr>
          <t xml:space="preserve">
Custo Total: USD 8.190 coberto pelo PNLS</t>
        </r>
      </text>
    </comment>
    <comment ref="C114" authorId="0">
      <text>
        <r>
          <rPr>
            <b/>
            <sz val="9"/>
            <color indexed="81"/>
            <rFont val="Tahoma"/>
            <family val="2"/>
          </rPr>
          <t>Angelo SOARES DE CEITA:</t>
        </r>
        <r>
          <rPr>
            <sz val="9"/>
            <color indexed="81"/>
            <rFont val="Tahoma"/>
            <family val="2"/>
          </rPr>
          <t xml:space="preserve">
Custo Total: USD 40.000 coberto pelo PNLS</t>
        </r>
      </text>
    </comment>
    <comment ref="J120" authorId="1">
      <text>
        <r>
          <rPr>
            <b/>
            <sz val="9"/>
            <color indexed="81"/>
            <rFont val="Tahoma"/>
            <family val="2"/>
          </rPr>
          <t>Lexos(F):</t>
        </r>
        <r>
          <rPr>
            <sz val="9"/>
            <color indexed="81"/>
            <rFont val="Tahoma"/>
            <family val="2"/>
          </rPr>
          <t xml:space="preserve">
1 participante será financiado pelo Brasil e outro pelo FG</t>
        </r>
      </text>
    </comment>
    <comment ref="C131" authorId="0">
      <text>
        <r>
          <rPr>
            <b/>
            <sz val="9"/>
            <color indexed="81"/>
            <rFont val="Tahoma"/>
            <family val="2"/>
          </rPr>
          <t>Angelo SOARES DE CEITA:</t>
        </r>
        <r>
          <rPr>
            <sz val="9"/>
            <color indexed="81"/>
            <rFont val="Tahoma"/>
            <family val="2"/>
          </rPr>
          <t xml:space="preserve">Custos cobertos pelas actividades 4.4.1 e 4.4.1.1
</t>
        </r>
      </text>
    </comment>
    <comment ref="J133" authorId="0">
      <text>
        <r>
          <rPr>
            <b/>
            <sz val="9"/>
            <color indexed="81"/>
            <rFont val="Tahoma"/>
            <family val="2"/>
          </rPr>
          <t>Angelo SOARES DE CEITA:</t>
        </r>
        <r>
          <rPr>
            <sz val="9"/>
            <color indexed="81"/>
            <rFont val="Tahoma"/>
            <family val="2"/>
          </rPr>
          <t xml:space="preserve">
Valor proveniente de 2013</t>
        </r>
      </text>
    </comment>
  </commentList>
</comments>
</file>

<file path=xl/sharedStrings.xml><?xml version="1.0" encoding="utf-8"?>
<sst xmlns="http://schemas.openxmlformats.org/spreadsheetml/2006/main" count="8680" uniqueCount="1123">
  <si>
    <t>1.1</t>
  </si>
  <si>
    <t>1.2</t>
  </si>
  <si>
    <t>1.4</t>
  </si>
  <si>
    <t>Capacidades de PNLT para gestão de  TB MR  reforçadas</t>
  </si>
  <si>
    <t>TBMR e Controlo de infecção</t>
  </si>
  <si>
    <t>7.20</t>
  </si>
  <si>
    <t>7.19</t>
  </si>
  <si>
    <t>7.18</t>
  </si>
  <si>
    <t xml:space="preserve">Reabilitação e adapatação das estruturas existentes ao  tratamento de TB MR </t>
  </si>
  <si>
    <t>7.17</t>
  </si>
  <si>
    <t>Disponibilizar o plano de seguimento dos casos TB MR conforme as directrizes da OMS</t>
  </si>
  <si>
    <t>7.16</t>
  </si>
  <si>
    <t>Assegurar o envio de amostras de pacientes suspeitos para CPC, durante 5 anos</t>
  </si>
  <si>
    <t>7.15</t>
  </si>
  <si>
    <t>Supervisionar as actividades de rotina da TB MR mensalmente</t>
  </si>
  <si>
    <t>7.14</t>
  </si>
  <si>
    <t>Assegurar a Vigilância da resistência (implementar a vigilância sentinela)</t>
  </si>
  <si>
    <t>7.13</t>
  </si>
  <si>
    <t>Assegurar Apoio nutricional e psico social</t>
  </si>
  <si>
    <t>7.12</t>
  </si>
  <si>
    <t>Assegurar o tratamento de 2ªlinha a todos os casos de TBMR conforme as directrizes nacional (53 pacotes)</t>
  </si>
  <si>
    <t>7.10</t>
  </si>
  <si>
    <t>Criar e fazer funcionar um grupo de coordenação gestão para TB MR. (grupo técnico nacional)</t>
  </si>
  <si>
    <t>7.9</t>
  </si>
  <si>
    <t>Reforçar o sistema de transporte de amostras</t>
  </si>
  <si>
    <t>7.8</t>
  </si>
  <si>
    <t xml:space="preserve">Aprovisionar o laboratório de cultura em consumíveis e reagente </t>
  </si>
  <si>
    <t>7.7</t>
  </si>
  <si>
    <t>Aprovisionar o país de uma de teste rápido (Gene-Xpert e cartuchos)</t>
  </si>
  <si>
    <t>7.6</t>
  </si>
  <si>
    <t xml:space="preserve"> Implementar o Laboratório de cultura e o teste de sensibilidade</t>
  </si>
  <si>
    <t>7.5</t>
  </si>
  <si>
    <t>Formar 2 técnicos de laboratório em cultura, no exteriordo país.</t>
  </si>
  <si>
    <t>7.4.1</t>
  </si>
  <si>
    <t>7.4</t>
  </si>
  <si>
    <t xml:space="preserve"> Formar  15 técnicos em gestão de TB MR, 1 sessão de 5 dias (ano 2 e ano 4)</t>
  </si>
  <si>
    <t>7.3</t>
  </si>
  <si>
    <t>Elaborar o documento de politica de controlo de infecção TB nos serviços de saúde e estabelecimentos colectivos e respectivo plano</t>
  </si>
  <si>
    <t>7.2</t>
  </si>
  <si>
    <t>Rever reproduzir o guia de Gestão de TB MR</t>
  </si>
  <si>
    <t>7.1</t>
  </si>
  <si>
    <t>prestação de serv. Integ. TB/HIV</t>
  </si>
  <si>
    <t xml:space="preserve">Gestão das actividades de colaboração TB/HIV </t>
  </si>
  <si>
    <t>Atelier para Elaboração da politica de controlo de infecção (25 participantes durante 5 dias)</t>
  </si>
  <si>
    <t>6.18</t>
  </si>
  <si>
    <t>Colaborar na Integração dos instrumentos de registos e de reportagem para seguir as actividades de 3 Is.</t>
  </si>
  <si>
    <t>6.17</t>
  </si>
  <si>
    <t>Adquirir teste de VIH</t>
  </si>
  <si>
    <t>6.16</t>
  </si>
  <si>
    <t>Adquirir ARV</t>
  </si>
  <si>
    <t>6.15</t>
  </si>
  <si>
    <t>Adquirir cotrimoxazol</t>
  </si>
  <si>
    <t>6.14</t>
  </si>
  <si>
    <t>Reciclar 15 formadores em TB/HIV, 1 secção de 5 dias no Ano 4</t>
  </si>
  <si>
    <t>6.13</t>
  </si>
  <si>
    <t>Formar 15 formadores em TB/HIV, 1 secção de 5 dias no Ano 2</t>
  </si>
  <si>
    <t>6.12</t>
  </si>
  <si>
    <t>Determinar VIH nos pacientes com TB através dos postos sentinelas</t>
  </si>
  <si>
    <t>6.11</t>
  </si>
  <si>
    <t xml:space="preserve">Determinar a prevalência d de TB nas pessoas que vivem com VIH </t>
  </si>
  <si>
    <t>6.10</t>
  </si>
  <si>
    <t>Reforçar as capacidades dos prestadores de cuidados de saúde em TB/HIV (Médicos, 100 enfermeiros,</t>
  </si>
  <si>
    <t>6.9</t>
  </si>
  <si>
    <t>Reforçar o aconselhamento da prevenção do VIH nos doentes TB</t>
  </si>
  <si>
    <t>6.8</t>
  </si>
  <si>
    <t>Assegurar a despistagem da TB (teste PPD)</t>
  </si>
  <si>
    <t>6.6</t>
  </si>
  <si>
    <t>Aprovisionar as unidades sanitárias com a isoniazida aos pacientes de HIV elegíveis (4.771 pacientes previsto nos 5 anos)</t>
  </si>
  <si>
    <t>6.5</t>
  </si>
  <si>
    <t>Organizar reuniões de planificação e seguimento das actividades trimestralmente</t>
  </si>
  <si>
    <t>6.4</t>
  </si>
  <si>
    <t>Colaborar na Integração dos instrumentos de registos e de reportagem de PNLS  para seguir as actividades  de 3 Is.</t>
  </si>
  <si>
    <t>6.3</t>
  </si>
  <si>
    <t>Elaborar um Guia Nacional de Co-infeccção</t>
  </si>
  <si>
    <t>6.2</t>
  </si>
  <si>
    <t xml:space="preserve">Implementar o órgão de coordenação central e distrital das actividades de colaboração TB/HIV </t>
  </si>
  <si>
    <t>6.1</t>
  </si>
  <si>
    <t>100% de casos detectados tratados</t>
  </si>
  <si>
    <t xml:space="preserve">Gestão dos efeitos secundários </t>
  </si>
  <si>
    <t>5.11</t>
  </si>
  <si>
    <t xml:space="preserve"> Formar 100 enfermeiros em manejo dos casos e estratégia Stop TB, co-infecção TB/HIV e  (2 sessões por ano de 5 Dias 50 no ano 1 e 50 no ano 3), Sendo 80 ST+20 RAP</t>
  </si>
  <si>
    <t>5.10</t>
  </si>
  <si>
    <t>Formar e reciclar Médicos em manejo dos casos e estratégia Stop TB, co-infecção TB/HIV (5 Dias, 40 participantes) 20 participantes no ano 1 e 20 no ano 3</t>
  </si>
  <si>
    <t>5.9</t>
  </si>
  <si>
    <t>Apoio nutricional e Psico-social à 150 pacientes, durante 5 anos</t>
  </si>
  <si>
    <t>5.8</t>
  </si>
  <si>
    <t xml:space="preserve"> Reciclar 50 Activistas de ONG, Associações Locais e (10) Socoristas para sensibilização das comunidades sobre TB  (TB/HIV; TB/MR)- (5 Dias, em 2 sessões de 20 pessoas em ST e uma sessão de 10 pessoas na RAP, ano 3)</t>
  </si>
  <si>
    <t>5.7.2</t>
  </si>
  <si>
    <t>5.7</t>
  </si>
  <si>
    <t xml:space="preserve"> Formar 50 Activistas de ONG, Associações Locais e (10) Socoristas para sensibilização das comunidades sobre TB  (TB/HIV; TB/MR)- (5 Dias, em 2 sessões de 20 pessoas em ST e uma sessão de 10 pessoas na RAP, Ano 1)</t>
  </si>
  <si>
    <t>5.7.1</t>
  </si>
  <si>
    <t>Assegurar a aplicação do tratamento directamente observado</t>
  </si>
  <si>
    <t>5.6</t>
  </si>
  <si>
    <t>Supervisionar os prestadores de cuidados de saúde</t>
  </si>
  <si>
    <t>5.5</t>
  </si>
  <si>
    <t>Formar 24 supervisores (supervisão integrada), uma secção de 5 dias.</t>
  </si>
  <si>
    <t>5.4</t>
  </si>
  <si>
    <t>Assegurar o controlo de qualidade nacional (CQ) dos medicamentos nos postos de distribuição (laboratório a ser identificado)</t>
  </si>
  <si>
    <t>5.3</t>
  </si>
  <si>
    <t>Adquirir medicamentos de primeira linha para tratar um total de 19 crianças durante 5 Anos</t>
  </si>
  <si>
    <t>5.2.2</t>
  </si>
  <si>
    <t>5.2</t>
  </si>
  <si>
    <t>Adquirir medicamentos para retratamento de 53 doentes durante 5 Anos</t>
  </si>
  <si>
    <t>5.2.1</t>
  </si>
  <si>
    <t>Assegurar o aprovisionamento em antituberculosos de 1º linha (pacote)</t>
  </si>
  <si>
    <t>Revisão  e impressão (do guia de manejo de caso de TB, modulos de formação)</t>
  </si>
  <si>
    <t>5.1</t>
  </si>
  <si>
    <t>Casos de tuberculose diagnosticados</t>
  </si>
  <si>
    <t>Adquirir um microscopio de LED</t>
  </si>
  <si>
    <t>4.13</t>
  </si>
  <si>
    <t>Aquisição de combustível para os distritos no apoio ao DOT ao nível comunitário</t>
  </si>
  <si>
    <t>4.12</t>
  </si>
  <si>
    <t xml:space="preserve">1.12.Supervisionar trimestralmente os CDT </t>
  </si>
  <si>
    <t>4.11</t>
  </si>
  <si>
    <t>Reciclar 100 tecnicos de saude sobre Sintomáticos Respiratórios, 4 sessão de 5 dias no Ano 2</t>
  </si>
  <si>
    <t>4.10.3</t>
  </si>
  <si>
    <t>4.10</t>
  </si>
  <si>
    <t xml:space="preserve">Formar 100 tecnicos de saude sobre Sintomáticos Respiratórios, 4 sessão de 5 dias no Ano 1 </t>
  </si>
  <si>
    <t>4.10.2</t>
  </si>
  <si>
    <t xml:space="preserve">Formar 15 formadores sobre Sintomáticos Respiratórios, 1 sessão de 5 dias no Ano 1 </t>
  </si>
  <si>
    <t>4.10.1</t>
  </si>
  <si>
    <t>4.9</t>
  </si>
  <si>
    <t xml:space="preserve">Financiamento das RX dos suspeitos e 325 pacientes TB </t>
  </si>
  <si>
    <t>4.8.1</t>
  </si>
  <si>
    <t>4.8</t>
  </si>
  <si>
    <t>Implementar o APSR (directrizes nacionais de APSR, guia de gestão de casos: de contactos e SR)</t>
  </si>
  <si>
    <t>Reciclar 25 Técnicos de Laboratórios (14 CDT, Incluindo 2 RAP, 6 HAM E 3 LNR) realização de Baciloscopia e controlo de qualidade (CQ) (1 sessão de 5 dias no Ano 3)</t>
  </si>
  <si>
    <t>4.7.2</t>
  </si>
  <si>
    <t>4.7</t>
  </si>
  <si>
    <t>Formar 25 Técnicos de Laboratórios (14 CDT, Incluindo 2 RAP, 6 HAM e 3 LNR) realização de Baciloscopia e controlo de qualidade (CQ) (1 sessão de 5 dias no Ano 1)</t>
  </si>
  <si>
    <t>4.7.1</t>
  </si>
  <si>
    <t>Realizar controlo de qualidade das lâminas no laboratório nacional de referência, trimestralmente durante 5 anos</t>
  </si>
  <si>
    <t>4.4.2</t>
  </si>
  <si>
    <t>4.4</t>
  </si>
  <si>
    <t>Assistencia Técnica parao o controlo de qualidade externo supranacional</t>
  </si>
  <si>
    <t>4.4.1.1</t>
  </si>
  <si>
    <t>Assegurar o controlo de qualidade externo supranacional</t>
  </si>
  <si>
    <t>4.4.1</t>
  </si>
  <si>
    <t>4.3</t>
  </si>
  <si>
    <t>Equipar os laboratórios( microscópios, bico de busen...)</t>
  </si>
  <si>
    <t>4.2</t>
  </si>
  <si>
    <t xml:space="preserve">Rehabilitar/adaptação de 6 laboratórios  </t>
  </si>
  <si>
    <t>4.1</t>
  </si>
  <si>
    <t>Conhecimento da população sobre a TB melhorado</t>
  </si>
  <si>
    <t xml:space="preserve">Gestão do Programa </t>
  </si>
  <si>
    <t>Reciclar 30 Jornalistas (rádio, televisão, jornal), 3 dias, Ano 2</t>
  </si>
  <si>
    <t>3.9</t>
  </si>
  <si>
    <t xml:space="preserve">Formar 30 Jornalistas (rádio, televisão, jornal), 3 dias, Ano 1 </t>
  </si>
  <si>
    <t>3.8</t>
  </si>
  <si>
    <t>Organização do dia Mundial de Luta contra TB</t>
  </si>
  <si>
    <t>3.7</t>
  </si>
  <si>
    <t>Realizar palestras de sensibilização ( na escola, igrejas, prisão, quartel militar, Jornalistas e nas comunidades)</t>
  </si>
  <si>
    <t>3.6</t>
  </si>
  <si>
    <t>Reciclar (100) ASC e activistas (em gestão das actividades comunitária/sensibilização sobre TB).</t>
  </si>
  <si>
    <t>3.5.1</t>
  </si>
  <si>
    <t>3.5</t>
  </si>
  <si>
    <t>Formar (100) ASC e activistas (em gestão das actividades comunitária/sensibilização sobre TB).</t>
  </si>
  <si>
    <t>Organizar sessões de advocacia junto aos decisores políticos e parceiros.</t>
  </si>
  <si>
    <t>3.4</t>
  </si>
  <si>
    <t>Realizar inquérito Estudos e inquéritos</t>
  </si>
  <si>
    <t>3.3</t>
  </si>
  <si>
    <t>Elaborar/adaptar e difundir Spot televisivo e radiofónico</t>
  </si>
  <si>
    <t>3.2</t>
  </si>
  <si>
    <t>Elaborar e reproduzir Kit de Comunicação com mensagens chaves de TB (folhetos, cartazes, bandeirolas, painel gigante e álbum seriado)(colocar antes das palestras)</t>
  </si>
  <si>
    <t>3.1</t>
  </si>
  <si>
    <t>Sistema de seguimento e avaliação do Programa fortalecido</t>
  </si>
  <si>
    <t>Organizar encontro para restituição dos dados</t>
  </si>
  <si>
    <t>2.8</t>
  </si>
  <si>
    <t>Atelie de 5 dias com 10 técnicos estatísticos para preenchimento das fichas e livro de registo</t>
  </si>
  <si>
    <t>2.7</t>
  </si>
  <si>
    <t xml:space="preserve">Organizar a avaliação (interna e externa) do plano estratégico  </t>
  </si>
  <si>
    <t>2.6</t>
  </si>
  <si>
    <t xml:space="preserve">Produção e difusão de relatórios trimestrais </t>
  </si>
  <si>
    <t>2.5</t>
  </si>
  <si>
    <t xml:space="preserve">Implementar o sistema de registo electrónico de dados TB </t>
  </si>
  <si>
    <t>2.4</t>
  </si>
  <si>
    <t>Implementar o plano de seguimento e avaliação</t>
  </si>
  <si>
    <t>2.3</t>
  </si>
  <si>
    <t>Organizar um atelier de 5 jours para avaliação do cumprimento do plano de seguimento e avaliação</t>
  </si>
  <si>
    <t>2.2.1</t>
  </si>
  <si>
    <t>2.2</t>
  </si>
  <si>
    <t>Organizar atelier de 5 dias para actualizar e validação o plano de seguimento e avaliação e instrumento de colheita dos dados</t>
  </si>
  <si>
    <t>Recrutar e afectar 1 técnico de Seguimento e Avaliação do PNLT</t>
  </si>
  <si>
    <t>2.1</t>
  </si>
  <si>
    <t>As capacidades gestionárias do programa reforçadas</t>
  </si>
  <si>
    <t>Formar 15 técnicos na instalação de uma base de dados (SPSS) da TB, 1 sessão de 5 dias.</t>
  </si>
  <si>
    <t>1.13</t>
  </si>
  <si>
    <t>Formação em utilização do softwer para gestão de stok dos medicamentos (FNM)</t>
  </si>
  <si>
    <t>1.12</t>
  </si>
  <si>
    <t>Adquirir/adaptar base de dado para gestão de stok dos medicamentos (FNM)</t>
  </si>
  <si>
    <t>1.11</t>
  </si>
  <si>
    <t>Assegurar envio de medicamentos e outros consumíveis para RAP</t>
  </si>
  <si>
    <t>1.10</t>
  </si>
  <si>
    <t>Aquisição de Combustível para transporte (distribuição de medicamentos) e gerador (50 Lt por mês para Gerador) durante 5 anos</t>
  </si>
  <si>
    <t>1.9</t>
  </si>
  <si>
    <t>Realizar  Supervisão de gestão de medicamentos (RAP semestralmente)</t>
  </si>
  <si>
    <t>1.8</t>
  </si>
  <si>
    <t>Assistência Tecnica internacional para Criar um sistema de incentivos (individuais e colectivos, financeiros e não financeiros) baseados no desempenho</t>
  </si>
  <si>
    <t>1.7</t>
  </si>
  <si>
    <t>Aquisição de 10 motorizada para distritos) até 2018</t>
  </si>
  <si>
    <t>1.6.5</t>
  </si>
  <si>
    <t>1.6</t>
  </si>
  <si>
    <t>Contratar uma empresa para assegurar a manutenção dos equipamentos (aparelho de medição de temperatura) contínuo durante 5 anos</t>
  </si>
  <si>
    <t>1.6.4.2</t>
  </si>
  <si>
    <t xml:space="preserve">Assegurar o funcionamento do aparelho de medição da temperatura do ambiente – rolo de registo de oscilação </t>
  </si>
  <si>
    <t>1.6.4.1</t>
  </si>
  <si>
    <t>Aquisição de 2 aparelho de medição da temperatura do ambiente – registo durante 24 horas</t>
  </si>
  <si>
    <t>1.6.4</t>
  </si>
  <si>
    <t>Contratar uma empresa para assegurar a manutenção dos equipamentos (informático, frigoríficos, ar condicionados, a) contínuo durante 5 anos</t>
  </si>
  <si>
    <t>1.6.3</t>
  </si>
  <si>
    <t>Aquisição de 7 KIT informático</t>
  </si>
  <si>
    <t>1.6.2</t>
  </si>
  <si>
    <t>Aquisição de 1 viatura</t>
  </si>
  <si>
    <t>1.6.1</t>
  </si>
  <si>
    <t>Assegurar o funcionamento do PNLT (Manutenção de viatura)</t>
  </si>
  <si>
    <t>1.5.4</t>
  </si>
  <si>
    <t>1.5</t>
  </si>
  <si>
    <t>Assegurar o funcionamento do PNLT (Seguro de Transporte de PNLT)</t>
  </si>
  <si>
    <t>1.5.3</t>
  </si>
  <si>
    <t>1.5.2</t>
  </si>
  <si>
    <t>Aquisição de materiais equipamento de escritório, e comunicação)</t>
  </si>
  <si>
    <t>1.5.1</t>
  </si>
  <si>
    <t>Realizar trimestralmente encontros de coordenação entre os diferentes níveis</t>
  </si>
  <si>
    <t>1.4.1</t>
  </si>
  <si>
    <t xml:space="preserve">Realizar Semestralmente e trimestralmente encontros de coordenação entre os diferentes parceiros </t>
  </si>
  <si>
    <t xml:space="preserve"> Advocacia para criar e dotar vagas para o PNLT (Um Director do programa médicos (2), enfermeira ( 1) seguimento  e avaliação, uma técnica de laboratório(1), um técnico de farmácia (1), secretaria (1),  técnico administrativo (1), motorista(1), assistente pedagógica até 2017</t>
  </si>
  <si>
    <t>1.3</t>
  </si>
  <si>
    <t xml:space="preserve">Reciclar 12 Técnicos de Farmácia (6 CDT, 1 RAP, 3 HAM e 2 FNM) em gestão de medicamentos (1 sessão de 5 dias no Ano 3) </t>
  </si>
  <si>
    <t>1.2.8</t>
  </si>
  <si>
    <t xml:space="preserve">Formar 12 Técnicos de Farmácia (6 CDT, 1 RAP, 3 HAM e 2 FNM) em gestão de medicamentos (1 sessão de 5 dias no Ano 1) </t>
  </si>
  <si>
    <t>1.2.7</t>
  </si>
  <si>
    <t xml:space="preserve">Formar 3 pessoas (2 farmácia e 1 medico de programa) em gestão e aprovisionamento de medicamentos </t>
  </si>
  <si>
    <t>1.2.6</t>
  </si>
  <si>
    <t>Formação em Seguimento e avaliação 2 pessoas</t>
  </si>
  <si>
    <t>1.2.5</t>
  </si>
  <si>
    <t>Formação em gestão administrativa 1 pessoa</t>
  </si>
  <si>
    <t>1.2.4</t>
  </si>
  <si>
    <t>Formação em saúde pública 2 pessoas</t>
  </si>
  <si>
    <t>1.2.3</t>
  </si>
  <si>
    <t xml:space="preserve"> Formação em gestão da TB 15 pessoas</t>
  </si>
  <si>
    <t>1.2.2</t>
  </si>
  <si>
    <t>Formação em Gestão do Programa 3 pessoas</t>
  </si>
  <si>
    <t>1.2.1</t>
  </si>
  <si>
    <t>Atelier de 3 dias para a Revisão do Guia de laboratório (10 participantes)</t>
  </si>
  <si>
    <t>1.1.12</t>
  </si>
  <si>
    <t>1.1.11</t>
  </si>
  <si>
    <t>1.1.10</t>
  </si>
  <si>
    <t>Descrição de atribuições das vagas a criar (TDR)</t>
  </si>
  <si>
    <t>1.1.9</t>
  </si>
  <si>
    <t xml:space="preserve">Revisão  e impressãodo guia de supervisão) </t>
  </si>
  <si>
    <t>1.1.8</t>
  </si>
  <si>
    <t>Multiplicar e disseminar 100 exemplares de modulo de formação em manejo de casos de TB</t>
  </si>
  <si>
    <t>1.1.7.1</t>
  </si>
  <si>
    <t xml:space="preserve">Elaborar  e imprimir  politica sobre a gestão de medicamentos, </t>
  </si>
  <si>
    <t>1.1.7</t>
  </si>
  <si>
    <t xml:space="preserve">Elaborar  e imprimir  manual de procedimento administrativo, </t>
  </si>
  <si>
    <t>1.1.6</t>
  </si>
  <si>
    <t>Elaborar  e imprimir  plano TB MR</t>
  </si>
  <si>
    <t>1.1.5</t>
  </si>
  <si>
    <t>Elaborar  e imprimir  plano de formação</t>
  </si>
  <si>
    <t>1.1.4</t>
  </si>
  <si>
    <t>Elaborar  e imprimir  plano de mobilização da recurso</t>
  </si>
  <si>
    <t>1.1.3</t>
  </si>
  <si>
    <t>Elaborar/Rever e imprimir  plano anual operacional de implementação</t>
  </si>
  <si>
    <t>1.1.2</t>
  </si>
  <si>
    <t xml:space="preserve">Elaborar e imprimir plano de advocacia,  </t>
  </si>
  <si>
    <t>1.1.1</t>
  </si>
  <si>
    <t>INDICADOR</t>
  </si>
  <si>
    <t>Orçamento 2017</t>
  </si>
  <si>
    <t>Orçamento 2016</t>
  </si>
  <si>
    <t>Orçamento 2015</t>
  </si>
  <si>
    <t>Orçamento 2014</t>
  </si>
  <si>
    <t>Orçamento 2013</t>
  </si>
  <si>
    <t>Resultado</t>
  </si>
  <si>
    <t>Domínio</t>
  </si>
  <si>
    <t xml:space="preserve">ACTIVITES </t>
  </si>
  <si>
    <t>Cod Activ</t>
  </si>
  <si>
    <t>Cod Grupo</t>
  </si>
  <si>
    <t>Sequência</t>
  </si>
  <si>
    <t>Numero de supervisão realizadas</t>
  </si>
  <si>
    <t>Relatório de vigilância sentinela disponivel</t>
  </si>
  <si>
    <t>Percentagem de pacientes que recebem cesta básica</t>
  </si>
  <si>
    <t>Percentagem de pacientes com efeitos secundários que foram tratados</t>
  </si>
  <si>
    <t>Numero de pacientes submetidos ao tratamento de 2ªlinha</t>
  </si>
  <si>
    <t>Numero de relatorio das actividades</t>
  </si>
  <si>
    <t>Numero de amostras referidas das US</t>
  </si>
  <si>
    <t>Numero de dias de ruptura</t>
  </si>
  <si>
    <t>Numero de exames realizados localmente</t>
  </si>
  <si>
    <t>Numero técnicos formados</t>
  </si>
  <si>
    <t>Documentos elaborados e  disponiveis</t>
  </si>
  <si>
    <t>Numero de guia disponivel</t>
  </si>
  <si>
    <t>Prevalência de VIH nos pacientes TB</t>
  </si>
  <si>
    <t>Prevalência de TB nas pessoas que vivem com HIV</t>
  </si>
  <si>
    <t>Nº de médicos formados em TB/HIV</t>
  </si>
  <si>
    <t>numero e percentagem de PVHVI testados</t>
  </si>
  <si>
    <t>Nº de Isoniasida destribuidos</t>
  </si>
  <si>
    <t>Nº de reuniões realizadas</t>
  </si>
  <si>
    <t>Iinstrumentos de registos e de reportagem das actividades adaptados e disponíveis</t>
  </si>
  <si>
    <t xml:space="preserve"> Guia nacional de coinfecção disponível</t>
  </si>
  <si>
    <t>Realização de uma reunião anual</t>
  </si>
  <si>
    <t>Percentagem de estruturas que aplicam TODO</t>
  </si>
  <si>
    <t xml:space="preserve">Numero de visitas de supervisão </t>
  </si>
  <si>
    <t>Numero de supervisosres formados</t>
  </si>
  <si>
    <t>Numero de relatório de CQ</t>
  </si>
  <si>
    <t>Numero de documentos impressos</t>
  </si>
  <si>
    <t>Numero de pretadores de cuidados de saude capacitados</t>
  </si>
  <si>
    <t>Numero de conctatos notificados e seguidos</t>
  </si>
  <si>
    <t>Diretrizes de APSR disponível</t>
  </si>
  <si>
    <t>Nº de técnicos de laboratório formados</t>
  </si>
  <si>
    <t xml:space="preserve">Numero de laboaratorio que interveem no controlo de qualidade </t>
  </si>
  <si>
    <t>Numero de laboaratorio que interveem no controlo de qualidade</t>
  </si>
  <si>
    <t>Numero de dias de rutura de Stoks</t>
  </si>
  <si>
    <t>Numero de laboratorios equipados</t>
  </si>
  <si>
    <t>Numero de laboratórios reabilitados/adapatados</t>
  </si>
  <si>
    <t>Relatório disponível</t>
  </si>
  <si>
    <t>Numero de palestras realizadas</t>
  </si>
  <si>
    <t>Numero de pessoal formados</t>
  </si>
  <si>
    <t xml:space="preserve"> Numero Decisores e parceiros colaborando nas actividades de luta contra a tuberculose</t>
  </si>
  <si>
    <t>Relatorio de CAP disponível</t>
  </si>
  <si>
    <t>Numero de SPOT elaborados e difundidos</t>
  </si>
  <si>
    <t>Número de KIT elaborados e disponíveis</t>
  </si>
  <si>
    <t>Dados restituidos</t>
  </si>
  <si>
    <t>Relatorio do atiliê</t>
  </si>
  <si>
    <t>Relatorio da avaliação disponível)</t>
  </si>
  <si>
    <t>relatorios produzidos e difundidos</t>
  </si>
  <si>
    <t>Sistema de registro electrónico funcional</t>
  </si>
  <si>
    <t>Plano S&amp;A actualizado e disponivel</t>
  </si>
  <si>
    <t>Técnico recrutado</t>
  </si>
  <si>
    <t>Numero de supervisões realizadas</t>
  </si>
  <si>
    <t>Numero de relatório técnicos e financeiros</t>
  </si>
  <si>
    <t>Numero de relatórios das reuniões disponíveis</t>
  </si>
  <si>
    <t>Numero de lugares criados dotados</t>
  </si>
  <si>
    <t>Numero de pessoal formado</t>
  </si>
  <si>
    <t>Criar e dotar vagas para o PNLT</t>
  </si>
  <si>
    <t>Numero de documentos elaborados e disponíveis</t>
  </si>
  <si>
    <r>
      <t>Aprovisionar as estruturas em consumíveis de laboratório (laminas, luvas, embaços, reagentes, mala térmica, pal</t>
    </r>
    <r>
      <rPr>
        <sz val="10"/>
        <color theme="1"/>
        <rFont val="Times New Roman"/>
        <family val="1"/>
      </rPr>
      <t>itos…)</t>
    </r>
    <r>
      <rPr>
        <sz val="10"/>
        <color rgb="FFFF0000"/>
        <rFont val="Times New Roman"/>
        <family val="1"/>
      </rPr>
      <t xml:space="preserve"> </t>
    </r>
  </si>
  <si>
    <t>Gestão</t>
  </si>
  <si>
    <t>Formação</t>
  </si>
  <si>
    <t>Gestão-Coordenação</t>
  </si>
  <si>
    <t>S &amp; A</t>
  </si>
  <si>
    <t>Compon</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</si>
  <si>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</si>
  <si>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</si>
  <si>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</si>
  <si>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</si>
  <si>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</si>
  <si>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</si>
  <si>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</si>
  <si>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</si>
  <si>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</si>
  <si>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</si>
  <si>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</si>
  <si>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</si>
  <si>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</si>
  <si>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</si>
  <si>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</si>
  <si>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</si>
  <si>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</si>
  <si>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</si>
  <si>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</si>
  <si>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</si>
  <si>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</si>
  <si>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</si>
  <si>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</si>
  <si>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Assegurar a formação de 54 agentes de saúde n manejo de casos da Tuberculose multiresistente (18 médicos, 18 enfermeiros, 9 técnicos de farmácia e 9 de laboratório)</t>
  </si>
  <si>
    <t>Elaborar as normas nacionais para construção de Insfrestruturas de saúde em STP, até final de 2014</t>
  </si>
  <si>
    <t>Formar 150 profissionais de saúde no controlo da infecção  eTB MR nas unidades sanitárias</t>
  </si>
  <si>
    <t>Aprovisionar as estruturas de saúde com TB MR de meios de protecção individual contra a infecção tuberculosa (máscaras respiradoras)</t>
  </si>
  <si>
    <t>Elaborar o plano nacional para o controlo da infecção tuberculosa em STP até final de 2015</t>
  </si>
  <si>
    <t>Rever e alinhar o Plano S &amp; A TBMR  ao caneta 2013-2017</t>
  </si>
  <si>
    <t>Reforçar a capacidade (formar e reciclar) dos quadros para a gestão de TBMR</t>
  </si>
  <si>
    <t xml:space="preserve">Doptar o PNLT de um ponto focal de TBMR  </t>
  </si>
  <si>
    <t>Elaborar directrizes de vigilância de TBMR</t>
  </si>
  <si>
    <t>Assegurar a formação de três (3) quadros do programa em gestão de TB multirresistente.</t>
  </si>
  <si>
    <t>Formar 20 pessoal de terreno para a recolha e transporte de amostras</t>
  </si>
  <si>
    <t>Implementar o sistema de rastreamento das amostras do desde a recolha até ao tratamento</t>
  </si>
  <si>
    <t>Tratar 100% dos casos de TB MR confirmados  até 2017</t>
  </si>
  <si>
    <t>Identificar todos os pacientes irregulares ao tratamento</t>
  </si>
  <si>
    <t>Assegurar o seguimento dos efeitos adversos do tratamento TB MR nos doentes colocados sob tratamento, até 2017</t>
  </si>
  <si>
    <t>Assegurar o manejo dos efeitos adversos a qualquer paciente sob tratamento, até 2017</t>
  </si>
  <si>
    <t>Implementar até 2015, o mecanismo de farmacovigilância para pacientes em tratamento.</t>
  </si>
  <si>
    <t>Treinar 16 rofessionais para a utilização das orientações e ferramentas de coleta de dados</t>
  </si>
  <si>
    <t>Formar 50 gestores do sistema de saúde na exploração e análise de dados para tomada de decisão</t>
  </si>
  <si>
    <t xml:space="preserve">Advogar junto aos decisores (CNE, DAF e MSAS,.) para o planificação e orçamentação da supervisão, de forma regular </t>
  </si>
  <si>
    <t xml:space="preserve"> Formar  - para cada paciente ao tratamento - um membro da Comunidade para a realização do TDO, até 2017 (488 Membres de la communauté)</t>
  </si>
  <si>
    <t>Assegurar o tratamento diretamente observado (TDO) a todos os os pacientes MR em tratamento</t>
  </si>
  <si>
    <t>Fazer advocacia para a mobilização e a alocação dos recursos necessários para a luta contra a TBMR</t>
  </si>
  <si>
    <t>Prevenção</t>
  </si>
  <si>
    <t>Intervenção</t>
  </si>
  <si>
    <t>Seguimento e Avaliação</t>
  </si>
  <si>
    <t>Pacote DOT</t>
  </si>
  <si>
    <t>Realizar um estudo para a reabilitação/adaptação das infraestruturas de tratamento da TB. Segundo as normas internacionais de controlo da infecção</t>
  </si>
  <si>
    <t>1.9.Organizar visitas domiciliares em busca de contactos dos casos positivos, perdidos de vista.</t>
  </si>
  <si>
    <t>Atribuição da nova grelha salarial à equipa  PNLT</t>
  </si>
  <si>
    <t>Elaborar o plano nacional para controlo da infecção tuberculina em São Tomé e Príncipe até finais de 2015</t>
  </si>
  <si>
    <t xml:space="preserve">Realizar um inquérito sobre a aplicação das normas internacionais de controlo da infecção TBMR </t>
  </si>
  <si>
    <t>Elaborar e multiplicar os materiais de sensibilização dos membros da comunidade sob controlo da infecção</t>
  </si>
  <si>
    <t>1: Planificação Coordenação</t>
  </si>
  <si>
    <t>2: Gestão da Subvenção</t>
  </si>
  <si>
    <t>3: Gestão de Compras e Aprovisionamento</t>
  </si>
  <si>
    <t>1: Comunicação regular da Informação</t>
  </si>
  <si>
    <t>1: despitagem e diagnóstico</t>
  </si>
  <si>
    <t>2: Tratamento</t>
  </si>
  <si>
    <t>3: Prevenção</t>
  </si>
  <si>
    <t>4: Implicação Comunitária</t>
  </si>
  <si>
    <t>1: Despiste e Tratamento</t>
  </si>
  <si>
    <t>2: Intervenções de colaboração TB/VIH</t>
  </si>
  <si>
    <t>1: Despistagem  e Diagnóstico TBMR</t>
  </si>
  <si>
    <t>3: Implicação de todos os prestadores de cuidados</t>
  </si>
  <si>
    <t>4: Implicação da Comunidade</t>
  </si>
  <si>
    <t>5: Outros (gestão TBMR)</t>
  </si>
  <si>
    <t>Intervenção Nome</t>
  </si>
  <si>
    <t>Prioridade</t>
  </si>
  <si>
    <t>Modulo</t>
  </si>
  <si>
    <t>ORÇA. 
2013-17</t>
  </si>
  <si>
    <t>Rótulos de Linha</t>
  </si>
  <si>
    <t>Total Geral</t>
  </si>
  <si>
    <t>Soma de Orçamento 2015</t>
  </si>
  <si>
    <t>Soma de Orçamento 2016</t>
  </si>
  <si>
    <t>Soma de Orçamento 2017</t>
  </si>
  <si>
    <t>Valor Unit. (USD)</t>
  </si>
  <si>
    <t>Qty</t>
  </si>
  <si>
    <t>Frequency</t>
  </si>
  <si>
    <t>Month/Days</t>
  </si>
  <si>
    <t>Consultor externo</t>
  </si>
  <si>
    <t>Bilhete passagem</t>
  </si>
  <si>
    <t>Terminal</t>
  </si>
  <si>
    <t>Per Diem</t>
  </si>
  <si>
    <t>Honorario</t>
  </si>
  <si>
    <t>Lanche</t>
  </si>
  <si>
    <t>Almoço</t>
  </si>
  <si>
    <t>Subsidio de transporte para participantes ST</t>
  </si>
  <si>
    <t>Motorista</t>
  </si>
  <si>
    <t>Logistica/secretariado</t>
  </si>
  <si>
    <t>Material</t>
  </si>
  <si>
    <t>Aluguer de Sala</t>
  </si>
  <si>
    <t>Clip</t>
  </si>
  <si>
    <t>Agrafador</t>
  </si>
  <si>
    <t>Agrafos</t>
  </si>
  <si>
    <t>Per Diem participante de RAP</t>
  </si>
  <si>
    <t>Bilhete de passagem nacional</t>
  </si>
  <si>
    <t>Validação</t>
  </si>
  <si>
    <t>Coktail</t>
  </si>
  <si>
    <t>Resmas de papel</t>
  </si>
  <si>
    <t>Argolas/Baguete</t>
  </si>
  <si>
    <t>Capas/contra capas</t>
  </si>
  <si>
    <t>comunicação</t>
  </si>
  <si>
    <t>Combustivel</t>
  </si>
  <si>
    <t>Training Fee</t>
  </si>
  <si>
    <t>DSA</t>
  </si>
  <si>
    <t>Terminals</t>
  </si>
  <si>
    <t>Air Fare</t>
  </si>
  <si>
    <t>Elaboração ….</t>
  </si>
  <si>
    <t>Facilitadores</t>
  </si>
  <si>
    <t>Material (Exemplar do guia)</t>
  </si>
  <si>
    <t>Bilhete de passagem Nacional</t>
  </si>
  <si>
    <t>Capas e contra capas</t>
  </si>
  <si>
    <t>Toner Impressora</t>
  </si>
  <si>
    <t>Toner fotocopiadora</t>
  </si>
  <si>
    <t>Comunicação</t>
  </si>
  <si>
    <t>Contrato com CPC</t>
  </si>
  <si>
    <t>Envio de laminas trimestralmente</t>
  </si>
  <si>
    <t>Supervisor</t>
  </si>
  <si>
    <t>Per diem para RAP</t>
  </si>
  <si>
    <t>Toner para fotocopiadora</t>
  </si>
  <si>
    <t>Toner para Impressora</t>
  </si>
  <si>
    <t>Ano 1</t>
  </si>
  <si>
    <t>Ano 2</t>
  </si>
  <si>
    <t>Ano 3</t>
  </si>
  <si>
    <t>Ano 4</t>
  </si>
  <si>
    <t>Ano 5</t>
  </si>
  <si>
    <t>Conbustivel</t>
  </si>
  <si>
    <t>Combustível</t>
  </si>
  <si>
    <t>Esferografica</t>
  </si>
  <si>
    <t>Capas de arquivo</t>
  </si>
  <si>
    <t>Agrafos (caixas)</t>
  </si>
  <si>
    <t>Clips</t>
  </si>
  <si>
    <t>Toner para impressora</t>
  </si>
  <si>
    <t>Capas e contracapas</t>
  </si>
  <si>
    <t>Reprodução</t>
  </si>
  <si>
    <t>Elaboração do plano de advocacia (assistência técnica Nacional)</t>
  </si>
  <si>
    <t>Per diem para participantes da RAP</t>
  </si>
  <si>
    <t>Material (blocos A5, capas, esferograficas, boracha, lapis…)</t>
  </si>
  <si>
    <t>Papel flipchart</t>
  </si>
  <si>
    <t>Marcador (caixas)</t>
  </si>
  <si>
    <t>CD RW</t>
  </si>
  <si>
    <t>Resmas de papel (incluindo atiliê de elaboração)</t>
  </si>
  <si>
    <t>Folhas transparentes</t>
  </si>
  <si>
    <t>Toner</t>
  </si>
  <si>
    <t>Impressão (Multiplicação) ... (x quant.)</t>
  </si>
  <si>
    <t xml:space="preserve"> Formar 15 (técnicos de PNLT, delegados e pontos focais- incluindo RAP) em gestão da TB, durante 10 dias</t>
  </si>
  <si>
    <t>Subsidio p/ logistica</t>
  </si>
  <si>
    <t>Formar 3 técnicos (técnicos de PNLT) em Gestão do Programa, durante 3 semanas</t>
  </si>
  <si>
    <t>1.3.3 Formar 2 técnicos em saúde pública</t>
  </si>
  <si>
    <t xml:space="preserve">Formar um técnico em gestão administrativa </t>
  </si>
  <si>
    <t>Formar 2 técnicos em Seguimento e avaliação (45 dias)</t>
  </si>
  <si>
    <t>Director do Programa</t>
  </si>
  <si>
    <t>Tecnico de Laboratorio</t>
  </si>
  <si>
    <t>Atribuição e um subsidio mensal à equipa de coordenação do PNLT</t>
  </si>
  <si>
    <t>Elaborar TDR ( descrição de postos) "Grupo de 10 pessoas durante 2 dias"</t>
  </si>
  <si>
    <t>Realizar Semestralmente encontros de coordenação entre os diferentes parceiros</t>
  </si>
  <si>
    <t>Training Material/Stationary</t>
  </si>
  <si>
    <t>Hall Rent</t>
  </si>
  <si>
    <t>Transport subsidy to participants</t>
  </si>
  <si>
    <t>Ticket</t>
  </si>
  <si>
    <t>Assegurar o material e equipamentos para funcionamento de escritórios (…)PNLT</t>
  </si>
  <si>
    <t>Stylo (caixas)</t>
  </si>
  <si>
    <t>Papier (rames)</t>
  </si>
  <si>
    <t>Dossiers fichier A4</t>
  </si>
  <si>
    <t>Agrafateur</t>
  </si>
  <si>
    <t>Agrafes (boites)</t>
  </si>
  <si>
    <t>Furador</t>
  </si>
  <si>
    <t>Envelopes diversos</t>
  </si>
  <si>
    <t>Armário</t>
  </si>
  <si>
    <t>Suporte para flipchart</t>
  </si>
  <si>
    <t>Capas transparentes (Micas)</t>
  </si>
  <si>
    <t>Capas plásticas</t>
  </si>
  <si>
    <t>Separadores</t>
  </si>
  <si>
    <t>Cartolinas</t>
  </si>
  <si>
    <t>Capas Cartolinas</t>
  </si>
  <si>
    <t>Máquina de encadernação</t>
  </si>
  <si>
    <t>postit</t>
  </si>
  <si>
    <t>Marcadores</t>
  </si>
  <si>
    <t>Corretores</t>
  </si>
  <si>
    <t>Pionese</t>
  </si>
  <si>
    <t>Baguete</t>
  </si>
  <si>
    <t>Capa (transparente)</t>
  </si>
  <si>
    <t>Contra-capa</t>
  </si>
  <si>
    <t>Communication</t>
  </si>
  <si>
    <t xml:space="preserve"> Adquirir combustível para funcionamento (administrativo) do PNLT</t>
  </si>
  <si>
    <t>Gasóleo</t>
  </si>
  <si>
    <t>Gasolina</t>
  </si>
  <si>
    <t>Seguro de Transporte de PNLT</t>
  </si>
  <si>
    <t>Seguro de Viaturas</t>
  </si>
  <si>
    <t>Seguro de Motorizadas</t>
  </si>
  <si>
    <t xml:space="preserve">Manutenção de viaturas  </t>
  </si>
  <si>
    <t xml:space="preserve">Manutenção de motorizadas  </t>
  </si>
  <si>
    <t>Aquisição de 1 viatura para o funcionamento E SUPERVISÃO de PNLT</t>
  </si>
  <si>
    <t>Viatura 4x4</t>
  </si>
  <si>
    <t>Pneus</t>
  </si>
  <si>
    <t>Atelier para adpatar de manual de procedimentos administrativos (Criar um grupo de trabalho de 10 pessoas) durante 3 dias</t>
  </si>
  <si>
    <t>Elaboração do Guia ….</t>
  </si>
  <si>
    <t>Toner para impressorafotocopiadora</t>
  </si>
  <si>
    <t xml:space="preserve">Reproduzir 50 manuais de procedimentos administrativos e distribuir para cada distrito </t>
  </si>
  <si>
    <t>Elaboração do plano operacional anual do programa (grupo de trabalho de 10 pessoas x 10 dias)</t>
  </si>
  <si>
    <t>Impressão (Multiplicação) ... (50 planos de 50 páginas)</t>
  </si>
  <si>
    <t>Elaboração de um plano mobilização de recursos  (grupo de trabalho de 10 pessoas x 5 dias)</t>
  </si>
  <si>
    <t>Elaborar  e imprimir  politica sobre a gestão de medicamentos</t>
  </si>
  <si>
    <t>Elaborar  e imprimir  plano de formação (grupo de trabalho de 5 pessoas x 3 dias)</t>
  </si>
  <si>
    <t>Elaborar  e imprimir  plano TB MR (grupo de trabalho de 10 pessoas x 3 dias)</t>
  </si>
  <si>
    <t>Driver</t>
  </si>
  <si>
    <t>Air ticket</t>
  </si>
  <si>
    <t>Per Diem RAP</t>
  </si>
  <si>
    <t>Combustuvel Gerador</t>
  </si>
  <si>
    <t>Combustivel Transporte</t>
  </si>
  <si>
    <t>Envio de medicamentos e outros consumíveis para RAP</t>
  </si>
  <si>
    <t>Adquirir 2 aparelho de medição da temperatura do ambiente – registo durante 24 horas (armazém de medicamentos)</t>
  </si>
  <si>
    <t>Aparelho de medição</t>
  </si>
  <si>
    <t>Adquirir base de dados</t>
  </si>
  <si>
    <t>Aluguer de computadores</t>
  </si>
  <si>
    <t>acetatos</t>
  </si>
  <si>
    <t xml:space="preserve"> Atelier de 15 pessoas durante 3 dias para revisão do guia de supervisão</t>
  </si>
  <si>
    <t>Reprodução e distribuição o guia de supervisão revisto</t>
  </si>
  <si>
    <t>DAS</t>
  </si>
  <si>
    <t>Atiliê</t>
  </si>
  <si>
    <t xml:space="preserve"> Aquisição de motorizadas para os distritos no apoio ao DOT ao nível comunitário</t>
  </si>
  <si>
    <t>Motorizadas</t>
  </si>
  <si>
    <t>Capacetes</t>
  </si>
  <si>
    <t>Lanche participante</t>
  </si>
  <si>
    <t xml:space="preserve">Almoço participante </t>
  </si>
  <si>
    <t>Subsidio de transporte para participantes</t>
  </si>
  <si>
    <t xml:space="preserve"> Implementar..o órgão de coordenação central das actividades de  colaboração TB/HIV </t>
  </si>
  <si>
    <t>Atelier de 5 dias para a Elaboração do Guia Nacional de Co-infeccção (25 participantes, com apoio tecnico externo)</t>
  </si>
  <si>
    <t xml:space="preserve"> Colaborar na Integração dos instrumentos de registos e de reportagem  para seguir as actividades  de 3 Is.</t>
  </si>
  <si>
    <t>instrumentos de registos e de reportagem</t>
  </si>
  <si>
    <t xml:space="preserve"> Atelier para Elaboração da politica de controlo de infecção (25 participantes durante 5 dias)</t>
  </si>
  <si>
    <t>honoraire</t>
  </si>
  <si>
    <t>Implementar o sistema de registo electrónico de dados TB</t>
  </si>
  <si>
    <t>Telemovel</t>
  </si>
  <si>
    <t>Cartões de recarga</t>
  </si>
  <si>
    <t xml:space="preserve"> Organizar a avaliação externa do plano estratégico  </t>
  </si>
  <si>
    <t xml:space="preserve">Rolo de registo </t>
  </si>
  <si>
    <t xml:space="preserve">Assegurar o controlo de qualidade nacional(CQ) dos medicamentos nos postos de distribuição (laboratório a ser identificado) </t>
  </si>
  <si>
    <t>Computador</t>
  </si>
  <si>
    <t>impressora</t>
  </si>
  <si>
    <t>UPS</t>
  </si>
  <si>
    <t>Fotocopiadora</t>
  </si>
  <si>
    <t>Manutenção de equipamentos</t>
  </si>
  <si>
    <t>Atelie de 5 dias com 10 técnicos estatísticos por ano para preenchimento das fichas e livro de registo</t>
  </si>
  <si>
    <t>Aluguer de sala</t>
  </si>
  <si>
    <t>Recrutar  e afetar1 técnico de Seguimento e Avaliação do PNLT</t>
  </si>
  <si>
    <t>Concurso</t>
  </si>
  <si>
    <t>Afetar um tecnico S&amp;A</t>
  </si>
  <si>
    <t>Realização de estudos/inquéritos</t>
  </si>
  <si>
    <t>Inquerito CAP</t>
  </si>
  <si>
    <t>Inquerito aos ex-pacientes e tecnicos de saude, e serviços prisionais</t>
  </si>
  <si>
    <t>Formar 105 ASC em gestão comunitária/sensibilização sobre TB  (TB/HIV; TB/MR)- (5 Dias, em 4 sessões de 26 participantes cada, sendo 1 sessão de 26 na RAP, ano 1)</t>
  </si>
  <si>
    <t>Reciclar 105 ASC em gestão comunitária/sensibilização sobre TB  (TB/HIV; TB/MR)- (5 Dias, em 4 sessões de 26 participantes cada, sendo 1 sessão de 26 na RAP, ano 2)</t>
  </si>
  <si>
    <t>Realizar palestras de sensibilização nas escolas (duas para cada distrito por ano)</t>
  </si>
  <si>
    <t xml:space="preserve">Contratation institution privé </t>
  </si>
  <si>
    <t>Realizar 5 palestras de sensibilização nos serviços prisionais</t>
  </si>
  <si>
    <t>Concours públique</t>
  </si>
  <si>
    <t xml:space="preserve"> Realizar 5 palestras de sensibilização nas Igrejas (duas para cada distrito por ano)</t>
  </si>
  <si>
    <t>Realizar 15 palestras de sensibilização aos Militares e Para-Militares</t>
  </si>
  <si>
    <t>Realizar 15 palestras de sensibilização nos estabelecimentos colectivos Policiais</t>
  </si>
  <si>
    <t xml:space="preserve"> Formar 30 Jornalistas (rádio, televisão, jornal), 3 dias, Ano 1 </t>
  </si>
  <si>
    <t xml:space="preserve"> Reciclar 30 Jornalistas (rádio, televisão, jornal), 3 dias, Ano 3 </t>
  </si>
  <si>
    <t>Apoio nutricional e Psico-social à 150 pacientes TBMR, durante 5 anos</t>
  </si>
  <si>
    <t xml:space="preserve">Reabilitar/adaptar 6 laboratórios distritais  </t>
  </si>
  <si>
    <t>Reabilitar/adaptar Laboratorios</t>
  </si>
  <si>
    <t>RX</t>
  </si>
  <si>
    <t>Organizar visitas domiciliares em busca de contactos dos casos positivos, e doentes perdidos</t>
  </si>
  <si>
    <t xml:space="preserve">Reciclar 100 tecnicos de saude sobre Sintomáticos Respiratórios, 4 sessão de 5 dias no Ano 1 </t>
  </si>
  <si>
    <t>Apoio Nutricional</t>
  </si>
  <si>
    <t>Apoio Psico-social</t>
  </si>
  <si>
    <t>Visitas anual do CPC</t>
  </si>
  <si>
    <t xml:space="preserve"> Realizar actividades de supervisão trimestralmente (pontos focais dos distritos aos postos e ASC)  </t>
  </si>
  <si>
    <t xml:space="preserve"> Aquisição de combustível para os distritos no apoio ao DOT ao nível comunitário</t>
  </si>
  <si>
    <t xml:space="preserve">Adquirir reagentes e consumíveis de laboratório para os 7 CDT e HAM durante 5 anos </t>
  </si>
  <si>
    <t>Reagentes e consumíveis de laboratório</t>
  </si>
  <si>
    <t>Adquirir medicamentos de primeira linha para tratar  (pacote por doente) adultos durante 5 Anos</t>
  </si>
  <si>
    <t>Realização de supervisão trimestral aos distritos</t>
  </si>
  <si>
    <t>ADQUIRIR ARV</t>
  </si>
  <si>
    <t>ARV (1º Linha adulto)</t>
  </si>
  <si>
    <t>Raio X</t>
  </si>
  <si>
    <t>ADQUIRIR teste de VIH</t>
  </si>
  <si>
    <t>Teste de VIH</t>
  </si>
  <si>
    <t>ADQUIRIR  COTRIMOXAZOL</t>
  </si>
  <si>
    <t>COTRIMOXAZOL (pacote de 100)</t>
  </si>
  <si>
    <t xml:space="preserve"> (teste PPD)</t>
  </si>
  <si>
    <t>Conbultivel</t>
  </si>
  <si>
    <t>Formar Médicos em manejo dos casos  TB/MDR (5 Dias, 40 participantes) 20 participantes no ano 1 e 20 no ano 3</t>
  </si>
  <si>
    <t>Reciclar Médicos em manejo dos casos  TB/MDR (5 Dias, 40 participantes) 20 participantes no ano 3 e 20 no ano 5</t>
  </si>
  <si>
    <t xml:space="preserve"> Formar  15 técnicos em gestão de TB MR, 1 sessão de 5 dias</t>
  </si>
  <si>
    <t>Atelier de 3 dias para revisão do guia de Gestão de TB MR (15 participantes)</t>
  </si>
  <si>
    <t>Envio de Amostras para cultura e teste de sensibilidade ao CPC</t>
  </si>
  <si>
    <t xml:space="preserve"> Reabilitação e adapatação das estruturas existentes ao  tratamento de TB MR </t>
  </si>
  <si>
    <t xml:space="preserve">Reabilitação/adaptação </t>
  </si>
  <si>
    <t>Adquirir medicamentos de segunda linha para 53 doentes TB/MR, durante 5 Anos</t>
  </si>
  <si>
    <t>Adquirir reagentes e consumíveis de laboratório para cultura e teste de sensibilidade durante 5 anos</t>
  </si>
  <si>
    <t xml:space="preserve">Dotar o país de teste rápido (Gene-Xpert) </t>
  </si>
  <si>
    <t>Construir e equipar um laboratorio nacional de referência de TB em s.tome (Brasil)</t>
  </si>
  <si>
    <t xml:space="preserve"> Atelier para elaborar o documento de politica de controlo de infecção TB nos serviços de saúde e estabelecimentos colectivos e respectivo plano (25 pessoas durante 5 dias)</t>
  </si>
  <si>
    <t>Bilhete passagem P/ST/P</t>
  </si>
  <si>
    <t>Organizar um atelier de 5 jours para actualizar o plano de seguimento e avaliação</t>
  </si>
  <si>
    <t xml:space="preserve"> Organizar um atelier de 5 jours para avaliação do cumprimento do plano de seguimento e avaliação</t>
  </si>
  <si>
    <t xml:space="preserve"> Produção e difusão de relatórios trimestrais</t>
  </si>
  <si>
    <t xml:space="preserve"> Sessões de advocacia junto aos decisores políticos e parceiros</t>
  </si>
  <si>
    <t>Lanche participante ST</t>
  </si>
  <si>
    <t>Lanche participante RAP</t>
  </si>
  <si>
    <t>Almoço participante ST</t>
  </si>
  <si>
    <t>Almoço participante RAP</t>
  </si>
  <si>
    <t>Elaborar Kit de Comunicação com mensagens chaves de TB (folhetos, cartazes, bandeirolas, painel gigante, álbum seriado, camisolas, bonés, e videos, dísticos)</t>
  </si>
  <si>
    <t>Elaborar/adaptar e difundir Spot televisivo, radiofónico e Jornal</t>
  </si>
  <si>
    <t>Microscopio LED</t>
  </si>
  <si>
    <t>Organizar um atelier de 10 dias x 25 participantes para revisão do guia de manejo de caso de TB</t>
  </si>
  <si>
    <t>Multiplicar e disseminar 100 exemplares de guia de TB</t>
  </si>
  <si>
    <t>Organizar um atelier de 10 dias x 25 participantes para adaptar os modulos de formação em manejo de casos de TB</t>
  </si>
  <si>
    <t>Actividades do Plano Estratégico</t>
  </si>
  <si>
    <t>Dados Detalhados, suporte aos calculos dos Custos</t>
  </si>
  <si>
    <t>Orçamento</t>
  </si>
  <si>
    <t>Nº Ordem</t>
  </si>
  <si>
    <t>Código</t>
  </si>
  <si>
    <t>Designação</t>
  </si>
  <si>
    <t xml:space="preserve">Caracterização </t>
  </si>
  <si>
    <t>Especificação / Desagregação</t>
  </si>
  <si>
    <t xml:space="preserve">Total e
 Sub-total
</t>
  </si>
  <si>
    <t>Custo Global
2013-2017</t>
  </si>
  <si>
    <t>Custo Parcial
2013-2015</t>
  </si>
  <si>
    <r>
      <t>AT Nacional  necessária;</t>
    </r>
    <r>
      <rPr>
        <sz val="9"/>
        <color rgb="FF0000CC"/>
        <rFont val="Times New Roman"/>
        <family val="1"/>
      </rPr>
      <t xml:space="preserve"> </t>
    </r>
    <r>
      <rPr>
        <sz val="9"/>
        <rFont val="Times New Roman"/>
        <family val="1"/>
      </rPr>
      <t>a actividade visa identificar, entre outros, eixos, natureza, metodologia, grupos alvo e a viabilização de um cronograma de acções susceptíveis de catalisar sinergias e engajamentos (decisores, financiadores e pessoal da saúde) na luta contra a TB</t>
    </r>
  </si>
  <si>
    <t xml:space="preserve">                       -   </t>
  </si>
  <si>
    <t/>
  </si>
  <si>
    <t>Elaborar/Rever e imprimir plano anual operacional de implementação</t>
  </si>
  <si>
    <r>
      <rPr>
        <b/>
        <sz val="10"/>
        <color rgb="FF0000CC"/>
        <rFont val="Times New Roman"/>
        <family val="1"/>
      </rPr>
      <t>Assistência Técnica necessária,</t>
    </r>
    <r>
      <rPr>
        <sz val="10"/>
        <color theme="1"/>
        <rFont val="Times New Roman"/>
        <family val="1"/>
      </rPr>
      <t xml:space="preserve"> na fase inicial. Trata-se da Elaboração do Plano Implementação (1º passo) e a sua subsequente e necessária actualização em função dos resultados alcançados, nomeadamente na execução Físico-Financeira no final do 4º trimestre de cada ano; trabalho realizado em grupo: 10 pessoas num período de 10 dias</t>
    </r>
  </si>
  <si>
    <t>Elaborar e imprimir plano de mobilização de recurso</t>
  </si>
  <si>
    <t>Actividade de grupo: a ser realizada por grupo de trabalho de 10 pessoas num período de 10 dias</t>
  </si>
  <si>
    <t>Elaborar e imprimir plano de formação</t>
  </si>
  <si>
    <t>Com a Elaboração do Plano de Implementação, grande parte desta Actividade está realizada; passo seguinte:  actualização anualmente do programado, de preferência no 4º trimestre; ser realizada por grupo de trabalho de 5 pessoas num período de 3 dias</t>
  </si>
  <si>
    <t>Elaborar e imprimir plano TB MR</t>
  </si>
  <si>
    <r>
      <t xml:space="preserve">Actualmente, com a Elaboração do Plano de Expansão, grande parte desta Actividade está realizada; o passo seguinte consiste em extrair do referido plano as actividades / acções a serem implementadas anualmente durante o período 2013-2015. </t>
    </r>
    <r>
      <rPr>
        <b/>
        <i/>
        <sz val="10"/>
        <color theme="1"/>
        <rFont val="Times New Roman"/>
        <family val="1"/>
      </rPr>
      <t xml:space="preserve">Actividade 1.1 do PI EXPAN; </t>
    </r>
    <r>
      <rPr>
        <sz val="10"/>
        <color theme="1"/>
        <rFont val="Times New Roman"/>
        <family val="1"/>
      </rPr>
      <t>grupo de trabalho de 10 pessoas durante 3 dias</t>
    </r>
  </si>
  <si>
    <t xml:space="preserve">Elaborar e imprimir manual de procedimento administrativo, </t>
  </si>
  <si>
    <t>Actividade a ser realizada pelo sector Administrativo do PNLT em estreita colaboração com CNE e MSAS, no âmbito de um Atelier (3 dias). Para o efeito será criado um grupo de trabalho de 10 pessoas); o MSAS já dispõe de um documento suporte de reflexão</t>
  </si>
  <si>
    <t xml:space="preserve">Elaborar e imprimir politica sobre a gestão de medicamentos, </t>
  </si>
  <si>
    <t>Actividade a ser implementada em consonância com o Plano Estratégico MEDICAMENTO; Assistência Técnica Nacional provavelmente necessária; trata-se de elaborar um documento guião com orientações claras sobre o conjunto de procedimento e sobretudo os intervenientes, entidades e responsabilidades da cadeia compra / transporte / armazenamento / conservação / distribuição / venda de medicamentos</t>
  </si>
  <si>
    <t>Multiplicar e disseminar 100 exemplares de módulo de formação em manejo de casos de TB</t>
  </si>
  <si>
    <t>Simples actividade de rotina (impressão) complementar a actividade de código 5.1</t>
  </si>
  <si>
    <t>Revisão e impressão do guia de supervisão</t>
  </si>
  <si>
    <t>Actividade a ser realizada no âmbito de um Atelier de 3 dias de duração e com a participação de 15 pessoas</t>
  </si>
  <si>
    <t>Trata-se de elaboração de TDR para definição das Vagas; actividade a ser desenvolvida em 2 dias por um grupo de 10 pessoas</t>
  </si>
  <si>
    <t>Actividade contínua à partir do T1 2013, com custo anual na ordem dos USD 14.933</t>
  </si>
  <si>
    <t>Atribuição e um subsídio mensal à equipa de coordenação do PNLT</t>
  </si>
  <si>
    <t>Actividade contínua à partir do T2 2013;disponibilização de verbas todos os Meses/Trimestres</t>
  </si>
  <si>
    <t>O Atelier terá uma duração de 3 dias e contará com a participação de 15 pessoas</t>
  </si>
  <si>
    <t xml:space="preserve">Formação de 3 técnicos de PNLT em Gestão do Programa  no exterior do país durante 3 semanas; de maneira progressiva ou seja 1 formação/ano: em 2013, 2014 e 2015 </t>
  </si>
  <si>
    <t>Formação em gestão da TB 15 pessoas</t>
  </si>
  <si>
    <t>A formação contempla delegados e pontos focais (incluindo RAP) em gestão da TB e terá uma duração de  10 dias</t>
  </si>
  <si>
    <t>A formação será realizada no exterior o país e concluída ao longo do ano 2014; está direccionada para 2 técnicos da Saúde</t>
  </si>
  <si>
    <t>Formação no exterior o país e direccionada para 1 técnico em gestão administrativa</t>
  </si>
  <si>
    <t>Formação no exterior o país e direccionada aos técnicos em  Seguimento e avaliação: 1 formação/ano a ser realizada em 2013 e 2014</t>
  </si>
  <si>
    <t xml:space="preserve">Formar 12 Técnicos de Farmácia (6 CDT, 1 RAP, 3 HAM e 2 FNM) em gestão de medicamentos </t>
  </si>
  <si>
    <t>Formação interna (1 sessão de 5 dias) prevista para 2013 e 20143; a formação de 2013 foi desdobrada, e a 1ª já foi concretizada e a 2ª está actualmente em execução</t>
  </si>
  <si>
    <t xml:space="preserve">Reciclar 12 Técnicos de Farmácia (6 CDT, 1 RAP, 3 HAM e 2 FNM) em gestão de medicamentos </t>
  </si>
  <si>
    <t>A reciclagem está prevista para o 2º Trimestre de 2015</t>
  </si>
  <si>
    <t>Na prática esta actividade ocorrerá em 2 trimestres/ano</t>
  </si>
  <si>
    <t>Actividade contínua à partir do T1 2013;disponibilização de verbas todos os Trimestres</t>
  </si>
  <si>
    <t>Aquisição de materiais e equipamentos de escritório, e comunicação</t>
  </si>
  <si>
    <t>Trata-se de assegurar  material e equipamentos nomeadamente os de comunicação e de escritório para o regular funcionamento do PNLT</t>
  </si>
  <si>
    <t>Assegurar o funcionamento do PNLT, (combustível)</t>
  </si>
  <si>
    <t>Actividade contínua à partir do T1 2013; trata-se muito particularmente de aquisição de combustível para funcionamento (administrativo) do PNLT; disponibilização de verbas todos os Trimestres</t>
  </si>
  <si>
    <t>Actividade de rotina da responsabilidade do sector administrativo-financeiro do programa</t>
  </si>
  <si>
    <t>A viatura prevista destina-se ao funcionamento do PNLT, com particular destaque para as actividades de Supervisão.</t>
  </si>
  <si>
    <t>Está previsto a aquisição de 7 KIT informático (Computador, impressora, UPS e fotocopiadora): 1 Kit para FNM e os outros 6 para PNLT</t>
  </si>
  <si>
    <t>Contratar uma empresa para assegurar a manutenção dos equipamentos (informático, frigoríficos, ar condicionados, a) contínuos durante 5 anos</t>
  </si>
  <si>
    <r>
      <rPr>
        <b/>
        <sz val="10"/>
        <color rgb="FF0000CC"/>
        <rFont val="Times New Roman"/>
        <family val="1"/>
      </rPr>
      <t xml:space="preserve">AT Nacional necessária. </t>
    </r>
    <r>
      <rPr>
        <sz val="10"/>
        <color theme="1"/>
        <rFont val="Times New Roman"/>
        <family val="1"/>
      </rPr>
      <t>Contrato operacional desde 1º Trim 13 e os custos anuais totalmente liquidados, mais tarde, nos finais do 4º Trim</t>
    </r>
  </si>
  <si>
    <t>Aquisição de 2 aparelho de medição da temperatura do ambiente: registo durante 24 horas</t>
  </si>
  <si>
    <t>Inicialmente prevista para 2013 esta actividade será finalmente realizada no T1 de 2014</t>
  </si>
  <si>
    <t xml:space="preserve">Assegurar o funcionamento do aparelho de medição da temperatura do ambiente - rolo de registo de oscilação </t>
  </si>
  <si>
    <t>Actividade contínua e em curso desde 1º Trim 13; custos liquidados em duas tranches (2013 e 2015), o mais tarde no 4º Trim</t>
  </si>
  <si>
    <t>Contratar uma empresa para assegurar a manutenção dos equipamentos (aparelho de medição de temperatura) contínuos durante 5 anos</t>
  </si>
  <si>
    <r>
      <rPr>
        <b/>
        <sz val="10"/>
        <color rgb="FF0000CC"/>
        <rFont val="Times New Roman"/>
        <family val="1"/>
      </rPr>
      <t>AT Nacional necessária.</t>
    </r>
    <r>
      <rPr>
        <sz val="10"/>
        <color theme="1"/>
        <rFont val="Times New Roman"/>
        <family val="1"/>
      </rPr>
      <t xml:space="preserve"> Contrato operacional desde 1º Trim 13 e os custos anuais totalmente liquidados, mais tarde, nos finais do 4º Trim; custo anaula = USD 700</t>
    </r>
  </si>
  <si>
    <t>Aquisição de 10 motorizada para distritos até 2018</t>
  </si>
  <si>
    <t>Actividade a ser implementada em articulação com o PNLP e que já se encontra na fase de execução</t>
  </si>
  <si>
    <t>Assistência Técnica internacional para Criar um sistema de incentivos (individuais e colectivos, financeiros e não financeiros) baseados no desempenho</t>
  </si>
  <si>
    <r>
      <rPr>
        <b/>
        <sz val="10"/>
        <color rgb="FF0000CC"/>
        <rFont val="Times New Roman"/>
        <family val="1"/>
      </rPr>
      <t>AT Internacional necessária.</t>
    </r>
    <r>
      <rPr>
        <sz val="10"/>
        <color theme="1"/>
        <rFont val="Times New Roman"/>
        <family val="1"/>
      </rPr>
      <t xml:space="preserve"> O resultado da Consultoria deverá estar operacional no 4º Trim 2013 para que seja implementado desde Janeiro de 2014</t>
    </r>
  </si>
  <si>
    <t>Realizar a Supervisão de gestão de medicamentos (RAP semestralmente)</t>
  </si>
  <si>
    <r>
      <t>Actividade de rotina destinada, entre outros,  a se assegurar do regular funcionamento da cadeia  c</t>
    </r>
    <r>
      <rPr>
        <i/>
        <sz val="10"/>
        <color theme="1"/>
        <rFont val="Times New Roman"/>
        <family val="1"/>
      </rPr>
      <t xml:space="preserve">ompra / transporte / armazenamento / conservação / distribuição / venda de medicamentos; </t>
    </r>
    <r>
      <rPr>
        <sz val="10"/>
        <color theme="1"/>
        <rFont val="Times New Roman"/>
        <family val="1"/>
      </rPr>
      <t>custo anual = USD 2.314</t>
    </r>
  </si>
  <si>
    <t>Realizar  Supervisão de gestão de medicamentos</t>
  </si>
  <si>
    <t>(RAP semestralmente)</t>
  </si>
  <si>
    <t xml:space="preserve">Aquisição de Combustível para transporte (distribuição de medicamentos) e gerador </t>
  </si>
  <si>
    <t>Actividade contínua desde T1 2013;custo anaula = USD 1.714; trata-se de aquisição de Combustível para transporte (distribuição de medicamentos) e gerador (50 Lt por mês para Gerador) durante 5 anos</t>
  </si>
  <si>
    <t>Actividade contínua desde T1 2013; custo anual = USD 400</t>
  </si>
  <si>
    <t>Adquirir/adaptar base de dado para gestão de stock dos medicamentos (FNM)</t>
  </si>
  <si>
    <r>
      <t>AT Internacional necessária</t>
    </r>
    <r>
      <rPr>
        <sz val="10"/>
        <rFont val="Times New Roman"/>
        <family val="1"/>
      </rPr>
      <t xml:space="preserve">; actividade transferida para T1 2014. O software adquirido deverá ser </t>
    </r>
    <r>
      <rPr>
        <u/>
        <sz val="10"/>
        <rFont val="Times New Roman"/>
        <family val="1"/>
      </rPr>
      <t>parametrizado</t>
    </r>
    <r>
      <rPr>
        <sz val="10"/>
        <rFont val="Times New Roman"/>
        <family val="1"/>
      </rPr>
      <t xml:space="preserve"> e adaptado as exigências do país em matéria de gestão de medicamentos</t>
    </r>
  </si>
  <si>
    <t>Formação em utilização do software para gestão de stock dos medicamentos (FNM)</t>
  </si>
  <si>
    <r>
      <t xml:space="preserve">Trata-se muito particularmente de </t>
    </r>
    <r>
      <rPr>
        <b/>
        <u/>
        <sz val="10"/>
        <color theme="1"/>
        <rFont val="Times New Roman"/>
        <family val="1"/>
      </rPr>
      <t>formação  de formadores</t>
    </r>
    <r>
      <rPr>
        <sz val="10"/>
        <color theme="1"/>
        <rFont val="Times New Roman"/>
        <family val="1"/>
      </rPr>
      <t xml:space="preserve"> que,  nos anos seguintes, assegurarão as formações práticas sobre a utilização do software para gestão do stock dos medicamentos; custo anual = USD 5.749</t>
    </r>
  </si>
  <si>
    <t>Formar 15 técnicos na instalação de uma base de dados (SPSS) da TB.</t>
  </si>
  <si>
    <t>Haverá uma sessão única de formação, a ser desenvolvida em 5 dias e destinada à 15 técnicos envolvidos no registo/tratamento/análise de dados da TB, consolidados numa base de dados SPSS</t>
  </si>
  <si>
    <t>Actividade contínua desde T1 2013, com custos anuais na ordem dos USD 8.700. Tem ligação com a 4.1 do Plano EXPANS</t>
  </si>
  <si>
    <t>Actividade da inteira responsabilidade da Unidade de Seguimento e Avaliação e destinada a actualização dos instrumentos de recolha de dados bem como a operacionalização do Plano S&amp;A.</t>
  </si>
  <si>
    <t>Organizar um atelier de 5 dias para avaliação do cumprimento do plano de seguimento e avaliação</t>
  </si>
  <si>
    <t>Da responsabilidade da Unidade S&amp;A o atelier visa promover um debate/reflexão sobre o cumprimento do programado no Plano S&amp;A e pela mesma ocasião propor alternativas aos eventuais desajustamentos evidenciados.</t>
  </si>
  <si>
    <t>Actividade a ser implementada com  apoio da OMS, parceiro junto ao qual já foram encetados contactos para o efeitos</t>
  </si>
  <si>
    <t>Actividade contínua à partir do T1 2013;custo anual =1.593</t>
  </si>
  <si>
    <t>Ateliê de 5 dias com 10 técnicos estatísticos para preenchimento das fichas e livro de registo</t>
  </si>
  <si>
    <t>É de capital importância que o domínio do preenchimento das fichas seja dado adquirido o mais tarde em 2014, para que o processo recolha/registo - tratamento/analise -produção/difusão dos dados da TB alcance o sucesso desejado. Custo anaul da actividade = USD 3.141</t>
  </si>
  <si>
    <t>Trata-se de encontros anuais (T1 de cada ano) realizados sobretudo com os intervenientes directos na execução do PNLT e destinado a apresentação/divulgação dos resultados obtidos no âmbito das acções e intervenções do Programa; custo anual = USD 375</t>
  </si>
  <si>
    <t xml:space="preserve">Elaborar e reproduzir Kit de Comunicação com mensagens chaves de TB </t>
  </si>
  <si>
    <t>Prevê-se a elaboração nomeadamente de folhetos, cartazes, bandeirolas, painel gigante, álbum seriado, camisolas, bonés, dísticos e vídeos, considerados de mensagens chaves na Comunicação/Sensibilização a TB; custo anual = USD 3.722</t>
  </si>
  <si>
    <t xml:space="preserve"> Concurs públique pour tous les contratations </t>
  </si>
  <si>
    <t xml:space="preserve"> Contratation d'enterprise </t>
  </si>
  <si>
    <t>Actividade contínua destinada a Comunicação/Sensibilização a TB, a ser realizada semestralmente e de preferência  no 2º e 3º Trimestre de cada ano; custo anual = USD 3.722</t>
  </si>
  <si>
    <t xml:space="preserve"> Difusion </t>
  </si>
  <si>
    <t xml:space="preserve"> Contratation groupe theatrale </t>
  </si>
  <si>
    <r>
      <t xml:space="preserve">AT Nacional ou Internacional, necessária; </t>
    </r>
    <r>
      <rPr>
        <sz val="10"/>
        <rFont val="Times New Roman"/>
        <family val="1"/>
      </rPr>
      <t>actividade abrangente visando nomeadamente avaliar os conhecimentos, atitudes e práticas das populações em matéria de manifestação, prevenção e tratamento não só da TB, TB/MR como também da sua associação à outras patologias (HIV, por exemplo)</t>
    </r>
  </si>
  <si>
    <t>A actividade visa  catalisar sinergias e engajamentos dos decisores políticos e parceiros na luta contra a TB, de um modo geral</t>
  </si>
  <si>
    <t>Prevê-se a formação de 100 ASC e activistas em gestão comunitária/sensibilização sobre TB, TB/HIV, TB/MR.; haverá para o efeito  4 sessões de  formação, sendo cada uma de uma duração de 5 dias com  26 participantes; uma das sessões será realizada  na RAP</t>
  </si>
  <si>
    <t>Os Formados na actividade anterior (3.5)  serão reciclados dois anos mais tarde</t>
  </si>
  <si>
    <t>Realizar palestras de sensibilização (na escola, igrejas, prisão, quartel militar, Jornalistas e nas comunidades)</t>
  </si>
  <si>
    <t>Prevê-se a realização anual de 2 palestras em cada distrito e para cada caso. Actividade contínua à partir do T2 2013;custo anual = USD 18.500</t>
  </si>
  <si>
    <t xml:space="preserve"> Contratation institution privé  </t>
  </si>
  <si>
    <t xml:space="preserve"> Concours públique </t>
  </si>
  <si>
    <t>Actividade anual a ocorrer no 1º trimestre; foi realizada a acção prevista para 2013; custos anual = USD 11.333</t>
  </si>
  <si>
    <t xml:space="preserve">Esta actividade visa um maior envolvimento de entidades e individualidades dos órgãos de comunicação social na luta contra a TB; a formação prevista será realizada no 2º trimestre de 2014 durante 3 dias </t>
  </si>
  <si>
    <t>Os Formados na actividade anterior (3.8)  serão reciclados dois anos mais tarde</t>
  </si>
  <si>
    <t xml:space="preserve">Reabilitar/adaptação de 6 laboratórios  </t>
  </si>
  <si>
    <t>Não obstante o seu carácter prioritário esta actividade, que tem enquadramento no OGE, só será realizada/concluída em T2 - 2014</t>
  </si>
  <si>
    <t>Aprovisionar as estruturas em consumíveis de laboratório</t>
  </si>
  <si>
    <t xml:space="preserve">Trata-se aquisição de reagentes e consumíveis de laboratório para os 7 CDT e HAM durante 5 anos </t>
  </si>
  <si>
    <t xml:space="preserve">Destina-se a assegurar o controlo de qualidade externo supranacional; actividade anual com custos (USD 5.701 / ano) previstos para os anos 2013 e 2014; tudo </t>
  </si>
  <si>
    <t>Assistência Técnica para o controlo de qualidade externo supranacional</t>
  </si>
  <si>
    <r>
      <t xml:space="preserve">Há necessidade de uma ATI; </t>
    </r>
    <r>
      <rPr>
        <sz val="10"/>
        <rFont val="Times New Roman"/>
        <family val="1"/>
      </rPr>
      <t>actividade prevista para os anos 2013, 2014 e 2015)  com custo anual na ordem dos USD 13.403</t>
    </r>
  </si>
  <si>
    <t>Actividade contínua desde T1 2013;custo anual = USD 7.592</t>
  </si>
  <si>
    <t xml:space="preserve">Formar 25 Técnicos de Laboratórios (14 CDT, Incluindo 2 RAP, 6 HAM e 3 LNR) realização de Baciloscopia e controlo de qualidade (CQ) </t>
  </si>
  <si>
    <t>Os 25 Técnicos de Laboratórios discriminados beneficiarão de uma sessão de formação de 5 dias de duração.</t>
  </si>
  <si>
    <t>Reciclar 25 Técnicos de Laboratórios (14 CDT, Incluindo 2 RAP, 6 HAM E 3 LNR) realização de Baciloscopia e controlo de qualidade (CQ)</t>
  </si>
  <si>
    <r>
      <t xml:space="preserve">Os formados do </t>
    </r>
    <r>
      <rPr>
        <b/>
        <i/>
        <sz val="10"/>
        <color theme="1"/>
        <rFont val="Times New Roman"/>
        <family val="1"/>
      </rPr>
      <t>4.7.1</t>
    </r>
    <r>
      <rPr>
        <sz val="10"/>
        <color theme="1"/>
        <rFont val="Times New Roman"/>
        <family val="1"/>
      </rPr>
      <t>, serão reciclados dois anos mais tarde</t>
    </r>
  </si>
  <si>
    <r>
      <t xml:space="preserve">PAL; </t>
    </r>
    <r>
      <rPr>
        <b/>
        <sz val="10"/>
        <color rgb="FF0000CC"/>
        <rFont val="Times New Roman"/>
        <family val="1"/>
      </rPr>
      <t xml:space="preserve">Necessidade de uma AT Internacional. </t>
    </r>
    <r>
      <rPr>
        <sz val="10"/>
        <rFont val="Times New Roman"/>
        <family val="1"/>
      </rPr>
      <t>Trata-se de organizar dois ateliers de 7 dias (no T4 de 2013 e no T4 de 2014) para elaboração (e revisão) de directrizes nacionais de (APSR) Sintomáticos Respiratórios e elaborar (e rever) o guia de gestão de casos dos sintomas respiratórios (para médicos e enfermeiros)</t>
    </r>
  </si>
  <si>
    <t>Organizar um atelier de 7 dias para elaboração de directrizes nacionais de (APSR) Sintomáticos Respiratórios e elaborar a guia de gestão de casos dos sint. Resp.</t>
  </si>
  <si>
    <t>Actividade contínua desde T1 2013; custo anual = USD 2.708</t>
  </si>
  <si>
    <t>Aprovisionar películas (    ) de RX,</t>
  </si>
  <si>
    <t>Assegurar o financiamento das RX dos suspeitos e 325 pacientes TB (em 5 anos)</t>
  </si>
  <si>
    <t>Organizar visitas domiciliar em busca de contactos () dos casos positivos, perdidos de vista.</t>
  </si>
  <si>
    <t>Actividade contínua desde T1 2013, com custos anuais na ordem dos USD 7.140</t>
  </si>
  <si>
    <r>
      <t xml:space="preserve">Necessidade de uma AT Internacional;  </t>
    </r>
    <r>
      <rPr>
        <sz val="10"/>
        <rFont val="Times New Roman"/>
        <family val="1"/>
      </rPr>
      <t>provavelmente a mesma para a actividade 4.8</t>
    </r>
  </si>
  <si>
    <t xml:space="preserve">Formar 100 técnicos de saúde sobre Sintomáticos Respiratórios, 4 sessão de 5 dias no Ano 1 </t>
  </si>
  <si>
    <t>A formação dos 100 téncicos ocorrerá em  4 sessões de formação de uma duração de 5 dias, cada uma.</t>
  </si>
  <si>
    <t>Reciclar 100 técnicos de saúde sobre Sintomáticos Respiratórios, 4 sessão de 5 dias no Ano 2</t>
  </si>
  <si>
    <t>Os formados na actividade 4.10.2 serão reciclados dois anos mais tarde</t>
  </si>
  <si>
    <t xml:space="preserve">Supervisionar trimestralmente os CDT </t>
  </si>
  <si>
    <t xml:space="preserve">Trata-se de realizar actividades de supervisão trimestralmente (pontos focais dos distritos aos postos e ASC) ; actividade contínua à partir do T1 2013, com custo anual na ordem dos USD 3.789 </t>
  </si>
  <si>
    <t>Actividade contínua à partir do T1 2013;custo anual = 3.070</t>
  </si>
  <si>
    <t>Adquirir um microscópio de LED</t>
  </si>
  <si>
    <t>Revisão e impressão (do guia de manejo de caso de TB, módulos de formação)</t>
  </si>
  <si>
    <r>
      <t xml:space="preserve">Esta actividade necessita de uma AT Internacional; </t>
    </r>
    <r>
      <rPr>
        <sz val="10"/>
        <rFont val="Times New Roman"/>
        <family val="1"/>
      </rPr>
      <t>os trabalhos previstos culminarão com a realização de um atelier de 10 dias de duração com  25 participantes</t>
    </r>
  </si>
  <si>
    <t>Trata-se de aquisição anual de medicamentos de primeira linha para tratar  (pacote por doente) adultos durante 5 anos</t>
  </si>
  <si>
    <t>Adquirir medicamentos para re-tratamento de 53 doentes durante 5 Anos</t>
  </si>
  <si>
    <t xml:space="preserve">Os medicamentos a serem adquiridos, todos os anos (T4) destinam-se ao tratamento de 53 doentes durante 5 anos </t>
  </si>
  <si>
    <t>Aquisição anual (T4) de medicamentos de primeira linha para tratamento de 19 crianças, durante 5 Anos</t>
  </si>
  <si>
    <t>Trata-se de identificação e de assinatura de uma convenção com um laboratório supranacional para que se possa assegurar o controlo de qualidade nacional(CQ) dos medicamentos nos postos de distribuição; actividade anual a ser concretizada nos T4</t>
  </si>
  <si>
    <t>Formação a ter lugar no 4º trimestre de 2013, numa única sessão de 5 dias de duração.</t>
  </si>
  <si>
    <t xml:space="preserve"> Realização de supervisão trimestral aos distritos, a partir do n central; Actividade contínua à partir do T1 2013;custo anual = USD 3.182</t>
  </si>
  <si>
    <t xml:space="preserve">Formar 50 Activistas de ONG, Associações Locais e (10) Socorristas </t>
  </si>
  <si>
    <t xml:space="preserve"> A actividade visa a sensibilização das comunidades sobre TB  (TB/HIV; TB/MR); haverá  2 sessões de formação de 20 participantes (cada uma) e de uma duração de 5 dias em São Tomé; na RAP será realizada uma sessão para 10 participantes</t>
  </si>
  <si>
    <t>Reciclar 50 Activistas de ONG, Associações Locais e (10) Socorristas</t>
  </si>
  <si>
    <t>Os formados em 5.7.1 serão reciclados dois anos mais tarde</t>
  </si>
  <si>
    <t>Actividade contínua à partir do T1 de 2013 e com custo anual na ordem de USD 3.000</t>
  </si>
  <si>
    <t xml:space="preserve">Formar e reciclar Médicos em manejo dos casos e estratégia Stop TB, co-infecção TB/VIH </t>
  </si>
  <si>
    <t>Concerne 40 Médicos repartidos em duas sessões de 20 participantes e com duração de 5 dias; a Reciclagem terá lugar em 2016</t>
  </si>
  <si>
    <t xml:space="preserve">Formar 100 enfermeiros em manejo dos casos e estratégia Stop TB, co-infecção TB/HIV </t>
  </si>
  <si>
    <t>A formação abrange 100 enfermeiros, reunidos em dois grupos de 50 em cada Ano (2014 e 2015)</t>
  </si>
  <si>
    <r>
      <t xml:space="preserve">Actividade contínua à partir do T1 de 2013 e com custo anual na ordem de USD 2.500; </t>
    </r>
    <r>
      <rPr>
        <b/>
        <sz val="10"/>
        <color rgb="FF0000CC"/>
        <rFont val="Times New Roman"/>
        <family val="1"/>
      </rPr>
      <t>O orçamento global mais correcto seria USD 12.500</t>
    </r>
  </si>
  <si>
    <t>Actividade destacada apenas à título indicativo</t>
  </si>
  <si>
    <t>Elaborar um Guia Nacional de Co-infecção</t>
  </si>
  <si>
    <r>
      <t xml:space="preserve">Necessidade de uma AT Internacional; </t>
    </r>
    <r>
      <rPr>
        <sz val="10"/>
        <rFont val="Times New Roman"/>
        <family val="1"/>
      </rPr>
      <t>os trabalhos serão desenvolvidos sobretudo no âmbito  de um atelier de 5 dias de duração com  25 participantes</t>
    </r>
  </si>
  <si>
    <t>Actividade contínua à partir do T1 2013, com custo anual na ordem dos USD 367</t>
  </si>
  <si>
    <t>Actividade contínua à partir do T1 2013, com custo anual na ordem dos USD 1.262; disponibilização de verbas todos os Trimestres</t>
  </si>
  <si>
    <t>Actividade contínua desde T1 2013; o custo médio anual é na ordem dos USD 1.886</t>
  </si>
  <si>
    <t>Reciclar 15 formadores em TB/HIV</t>
  </si>
  <si>
    <t>Reciclagem  prevista para 2016</t>
  </si>
  <si>
    <t>Actividade anual, contínua a ser concretizada nos 3º trimestres</t>
  </si>
  <si>
    <t>Actividade anual, contínua, em princípio, coberta por FNUAP; a ser concretizada no T3</t>
  </si>
  <si>
    <t>Actividade contínua com concretização prevista para T4 de cada ano</t>
  </si>
  <si>
    <t>Atelier para Elaboração da política de controlo de infecção (25 participantes durante 5 dias)</t>
  </si>
  <si>
    <t>Atelier de 5 dias de duração com  25 participantes, a ser realizado no 1º trimestre de 2014</t>
  </si>
  <si>
    <t>Atelier de 3 dias de duração com  15 participantes, a decorrer no 2º trimestre de 2015</t>
  </si>
  <si>
    <t>Elaborar o documento de política de controlo de infecção TB nos serviços de saúde e estabelecimentos colectivos e respectivo plano</t>
  </si>
  <si>
    <r>
      <t xml:space="preserve">Necessidade de uma AT Internacional; </t>
    </r>
    <r>
      <rPr>
        <sz val="10"/>
        <rFont val="Times New Roman"/>
        <family val="1"/>
      </rPr>
      <t xml:space="preserve">alocação de fundo </t>
    </r>
    <r>
      <rPr>
        <b/>
        <sz val="10"/>
        <color rgb="FFC00000"/>
        <rFont val="Times New Roman"/>
        <family val="1"/>
      </rPr>
      <t>suplementar (USD 50.000)</t>
    </r>
    <r>
      <rPr>
        <sz val="10"/>
        <rFont val="Times New Roman"/>
        <family val="1"/>
      </rPr>
      <t xml:space="preserve"> proveniente de 5.11 Gestão de efeitos secundários; o Atelier terá uma duração de 5 dias com  25 participantes, e será realizado no 2º trimestre de 2014</t>
    </r>
  </si>
  <si>
    <t>Formar 15 técnicos em gestão de TB MR</t>
  </si>
  <si>
    <t>Trata-se de formação de formadores que irão assegurar a realização das actividades 7.18,19,20</t>
  </si>
  <si>
    <t>Formar 2 técnicos de laboratório em cultura, no exterior do país.</t>
  </si>
  <si>
    <t>Prevê-se a formação de 2 técnicos de laboratório no exterior o país, em simultãneo, no 4º trimestre de 2014</t>
  </si>
  <si>
    <t>Implementar o Laboratório de cultura e o teste de sensibilidade</t>
  </si>
  <si>
    <t>Esta actividade de grande relevo,  também está destacada no Plano EXPANSÃO (2.5), com a conclusão prevista para T3 2014</t>
  </si>
  <si>
    <t>Actividade destacada no PLANO EXPANS com o código 2.4</t>
  </si>
  <si>
    <t>Actividade destacada no PL EXPANS com código 2.6; trata-se de adquirir reagentes e consumíveis de laboratório para cultura e teste de sensibilidade durante 5 anos</t>
  </si>
  <si>
    <t>Trata-se de controlo ao nível interno (distritos/país); actividade contínua desde T1 2013</t>
  </si>
  <si>
    <t>Actividade contínua desde T1 2013; trata-se de adquirir medicamentos de segunda linha para 53 doentes TB/MR, durante 5 Anos</t>
  </si>
  <si>
    <t>Assegurar Apoio nutricional e Psico-social</t>
  </si>
  <si>
    <t>Actividade contínua desde T1 2013, também destacada no Plano Expansão (3.8)</t>
  </si>
  <si>
    <t>Actividade contínua à partir do T3 2013</t>
  </si>
  <si>
    <r>
      <t xml:space="preserve">Supervisionar as actividades de rotina da TB MR </t>
    </r>
    <r>
      <rPr>
        <sz val="10"/>
        <rFont val="Times New Roman"/>
        <family val="1"/>
      </rPr>
      <t>mensalmente</t>
    </r>
  </si>
  <si>
    <t>Actividade contínua desde T1 2013</t>
  </si>
  <si>
    <t>Custos cobertos pelas actividades 4.4.1 e 4.4.1.1</t>
  </si>
  <si>
    <t>Actividade desdobrada em duas sessões de 5 dias de duração,  sendo a 1ª no 2º Trim 2013 e a 2ª no 3º Trim 2015; ao todo serão 40 participantes, sendo 20 em cada sessão</t>
  </si>
  <si>
    <t>A Reciclagem será realizada em 2016</t>
  </si>
  <si>
    <t>Equipar os laboratórios (microscópios, bico de busen...)</t>
  </si>
  <si>
    <t>Actividade com arranque previsto para  T2 - 2014 atendendo que a sua implementação está, em parte, condicionada à conclusão do laboratório (código 7. 5) projectada para T3 -2014</t>
  </si>
  <si>
    <t>Actividade contínua à partir do T1 2013;disponibilização de verbas todos os Trimestres.</t>
  </si>
  <si>
    <t>Colaborar na Integração dos instrumentos de registos e de reportagem de PNLS para seguir as actividades de 3 Is.</t>
  </si>
  <si>
    <t>Actividade destacada apenas à título indicativo; coberta por 6.17</t>
  </si>
  <si>
    <t>Aprovisionar as unidades sanitárias com a isoniazida aos pacientes de HIV elegíveis ( pacientes previsto nos 5 anos)</t>
  </si>
  <si>
    <t>Actividade destacada apenas à título indicativo; coberto por 5.9 e 5.10</t>
  </si>
  <si>
    <t>Actividade contínua destacada apenas à título indicativo; custos suportados  por PNLS</t>
  </si>
  <si>
    <t>Actividade contínua, destacada apenas à título indicativo</t>
  </si>
  <si>
    <t>7.11</t>
  </si>
  <si>
    <t>Assegurar o manejo dos efeitos secundários</t>
  </si>
  <si>
    <t xml:space="preserve">Reabilitação e adaptação das estruturas existentes ao tratamento de TB MR </t>
  </si>
  <si>
    <t>Oficial de contabilidade</t>
  </si>
  <si>
    <t>Médico</t>
  </si>
  <si>
    <t>Enfermeiro</t>
  </si>
  <si>
    <t>Tecnico Segmento e Avaliação</t>
  </si>
  <si>
    <t>Tecnico de aquisições</t>
  </si>
  <si>
    <t>Assistente de Aquisições</t>
  </si>
  <si>
    <t>Responsavel de formação/capacitaçao</t>
  </si>
  <si>
    <t>Combustivel/deslocação</t>
  </si>
  <si>
    <t xml:space="preserve">Elaborar e imprimir edivulgar plano de advocacia,  </t>
  </si>
  <si>
    <t>2: Pesquisa Ooperacional</t>
  </si>
  <si>
    <t>Realizar um Inquérito CAP</t>
  </si>
  <si>
    <t>3.3.1</t>
  </si>
  <si>
    <t>3.3.2</t>
  </si>
  <si>
    <t>54.1</t>
  </si>
  <si>
    <t>Realizar um Estudo sobre a mortalidade por TB</t>
  </si>
  <si>
    <t>Realizar um Estudo sobre a Co-infecção TB/VIH</t>
  </si>
  <si>
    <t>Actividades do Plano Estratégico TB : ORÇAMENTOS ANUAIS Actualização do dia 02 de Julho</t>
  </si>
  <si>
    <t>Ano 1-Reagentes e consumíveis de laboratório</t>
  </si>
  <si>
    <t>Ano 2-Reagentes e consumíveis de laboratório</t>
  </si>
  <si>
    <t>Ano 3-Reagentes e consumíveis de laboratório</t>
  </si>
  <si>
    <t>Ano 4-Reagentes e consumíveis de laboratório</t>
  </si>
  <si>
    <t>Ano 5-Reagentes e consumíveis de laboratório</t>
  </si>
  <si>
    <t>Bilhe de passagem internacional</t>
  </si>
  <si>
    <t>honorario</t>
  </si>
  <si>
    <t>terminal</t>
  </si>
  <si>
    <t>Ano 4  (cartuchos)</t>
  </si>
  <si>
    <t>Ano 5 (cartuchos)</t>
  </si>
  <si>
    <t>Reunião</t>
  </si>
  <si>
    <t>Treinar 16 professionais para a utilização das orientações e ferramentas de coleta de dados</t>
  </si>
  <si>
    <r>
      <t xml:space="preserve">AT Nacional ou Internacional, necessária; </t>
    </r>
    <r>
      <rPr>
        <sz val="10"/>
        <color rgb="FFFF0000"/>
        <rFont val="Times New Roman"/>
        <family val="1"/>
      </rPr>
      <t>actividade abrangente visando nomeadamente avaliar os conhecimentos, atitudes e práticas das populações em matéria de manifestação, prevenção e tratamento não só da TB, TB/MR como também da sua associação à outras patologias (HIV, por exemplo)</t>
    </r>
  </si>
  <si>
    <t>Realização do estudo</t>
  </si>
  <si>
    <t>54.2</t>
  </si>
  <si>
    <t>Assegurar o funcionamento do PNLT</t>
  </si>
  <si>
    <t>26.1</t>
  </si>
  <si>
    <t>1.5.2.1</t>
  </si>
  <si>
    <t>Assegurar o funcionamento das Unidades Sanitárias no processo de descentralização da  estratégia DOT</t>
  </si>
  <si>
    <t>Ano 3  (Aparelho+ cartuchos)</t>
  </si>
  <si>
    <t>Possíveis Fontes de Financiamentos 2015-2017</t>
  </si>
  <si>
    <t>FG</t>
  </si>
  <si>
    <t xml:space="preserve">Brasil </t>
  </si>
  <si>
    <t xml:space="preserve">OMS </t>
  </si>
  <si>
    <t xml:space="preserve">Portugal/Saúde para Todos </t>
  </si>
  <si>
    <t xml:space="preserve">Governo </t>
  </si>
  <si>
    <t>Total ENGAJAMENTO POSSÍVEL</t>
  </si>
  <si>
    <t>GAP  2013-2017</t>
  </si>
  <si>
    <t>Actividades do Plano Estratégico TB : ORÇAMENTOS ANUAIS Actualização do dia 03 de Julho</t>
  </si>
  <si>
    <t xml:space="preserve"> Formar  15 técnicos em gestão de TB MR, 1 sessão de 5 dias (ano 3 e ano 4)</t>
  </si>
  <si>
    <t>ORÇA. 
2015-17</t>
  </si>
  <si>
    <t>Valores</t>
  </si>
  <si>
    <t>Soma de Orçamento 2013</t>
  </si>
  <si>
    <t>Soma de Orçamento 2014</t>
  </si>
  <si>
    <t>Soma de FG</t>
  </si>
  <si>
    <t xml:space="preserve">Soma de Brasil </t>
  </si>
  <si>
    <t xml:space="preserve">Soma de OMS </t>
  </si>
  <si>
    <t xml:space="preserve">Soma de Portugal/Saúde para Todos </t>
  </si>
  <si>
    <t xml:space="preserve">Soma de Governo </t>
  </si>
  <si>
    <t>Soma de GAP  2013-2017</t>
  </si>
  <si>
    <t>Intervenções</t>
  </si>
  <si>
    <t>GAP  17</t>
  </si>
  <si>
    <t>GAP  2016</t>
  </si>
  <si>
    <t>Soma de GAP  2016</t>
  </si>
  <si>
    <t>GAP  2015</t>
  </si>
  <si>
    <t>Soma de GAP  2015</t>
  </si>
  <si>
    <t>Soma de GAP  17</t>
  </si>
  <si>
    <t>Lista de Materiais de Escritório</t>
  </si>
  <si>
    <t>Câmbio</t>
  </si>
  <si>
    <t xml:space="preserve">Descricao </t>
  </si>
  <si>
    <t>Custo Unitario                 STD</t>
  </si>
  <si>
    <t>Custo Unitario USD</t>
  </si>
  <si>
    <t xml:space="preserve">Firma </t>
  </si>
  <si>
    <t>Afiadeira</t>
  </si>
  <si>
    <t>Papélia</t>
  </si>
  <si>
    <t>Agrafador grande</t>
  </si>
  <si>
    <t>Studio Cinema, Lda.</t>
  </si>
  <si>
    <t>Agrafador pequeno</t>
  </si>
  <si>
    <r>
      <t>Almo</t>
    </r>
    <r>
      <rPr>
        <sz val="11"/>
        <color indexed="8"/>
        <rFont val="Calibri"/>
        <family val="2"/>
      </rPr>
      <t>ç</t>
    </r>
    <r>
      <rPr>
        <sz val="11"/>
        <color theme="1"/>
        <rFont val="Calibri"/>
        <family val="2"/>
        <scheme val="minor"/>
      </rPr>
      <t>o</t>
    </r>
  </si>
  <si>
    <t>Aluguer de sala p/ Formacao</t>
  </si>
  <si>
    <t xml:space="preserve">Base p/ rato </t>
  </si>
  <si>
    <t>Bilhete ST/RAP/ST</t>
  </si>
  <si>
    <t>Blocos de Nota A5</t>
  </si>
  <si>
    <t>Manuel Roque, Lda.</t>
  </si>
  <si>
    <t>Borracha</t>
  </si>
  <si>
    <t>Caderno A5</t>
  </si>
  <si>
    <t>Caixa de Agrafos 24/6</t>
  </si>
  <si>
    <t>Caixa de clip n.º 10</t>
  </si>
  <si>
    <t>Caixa de clip n.º 4</t>
  </si>
  <si>
    <t xml:space="preserve">Caixa de pionese </t>
  </si>
  <si>
    <t>Caixa de Pioneses</t>
  </si>
  <si>
    <t>Capa de arquivo</t>
  </si>
  <si>
    <t>Capa de cartolina grossa</t>
  </si>
  <si>
    <t>Capa de cartolina leve (Chemise)</t>
  </si>
  <si>
    <t>Cartolina A4</t>
  </si>
  <si>
    <t xml:space="preserve">Cartolina c/ elastico </t>
  </si>
  <si>
    <t>CD-R</t>
  </si>
  <si>
    <t>Clips (boites)</t>
  </si>
  <si>
    <t>Combustivel Gasoleo</t>
  </si>
  <si>
    <t>CEDEC ou outros…</t>
  </si>
  <si>
    <t>Combustivel Gasilina</t>
  </si>
  <si>
    <t>Corrector (Caneta)</t>
  </si>
  <si>
    <t>Despensadores de fita cola (escritório)</t>
  </si>
  <si>
    <t>DSA RAP (government staff)</t>
  </si>
  <si>
    <t>DSA TMS  (government staff)</t>
  </si>
  <si>
    <t>DSA RAP (non governmental staff)</t>
  </si>
  <si>
    <t>DSA TMS   (non governmental staff)</t>
  </si>
  <si>
    <t>DVD -R</t>
  </si>
  <si>
    <t>Embalagem de separadores</t>
  </si>
  <si>
    <t>Envelope A4</t>
  </si>
  <si>
    <t>Envelope A5</t>
  </si>
  <si>
    <t>Envelope comercial</t>
  </si>
  <si>
    <t>Envelope pequeno</t>
  </si>
  <si>
    <t>Esferografica Bic</t>
  </si>
  <si>
    <t xml:space="preserve">Facilitador </t>
  </si>
  <si>
    <t>Fita cola grande</t>
  </si>
  <si>
    <t>Fita cola pequena</t>
  </si>
  <si>
    <t>Furador Grande</t>
  </si>
  <si>
    <t>Furador Pequeno</t>
  </si>
  <si>
    <t>Lanche simples</t>
  </si>
  <si>
    <t>Lanche reforçado</t>
  </si>
  <si>
    <r>
      <t>Lapis Carv</t>
    </r>
    <r>
      <rPr>
        <sz val="11"/>
        <color indexed="8"/>
        <rFont val="Calibri"/>
        <family val="2"/>
      </rPr>
      <t>ão</t>
    </r>
  </si>
  <si>
    <t xml:space="preserve">Marcador </t>
  </si>
  <si>
    <t>Marcador florescente</t>
  </si>
  <si>
    <t>Pen Drive 16 GB</t>
  </si>
  <si>
    <t>Pen Drive 4 GB</t>
  </si>
  <si>
    <t>Pen Drive 8 GB</t>
  </si>
  <si>
    <t>Post-IT 75 x 125mm</t>
  </si>
  <si>
    <t>Post-IT 76 x 76mm</t>
  </si>
  <si>
    <t>Resma de contra capa A4</t>
  </si>
  <si>
    <t>Resma de papel A4</t>
  </si>
  <si>
    <t>Resma de Transparente A4</t>
  </si>
  <si>
    <t>Saca-agrafo</t>
  </si>
  <si>
    <t xml:space="preserve">Subsidio transporte </t>
  </si>
  <si>
    <t>Tinteiro p/ impressora HP Laserjet 05A</t>
  </si>
  <si>
    <t>Tecno Point</t>
  </si>
  <si>
    <t>Toner p/ Fotocopiadora</t>
  </si>
  <si>
    <t>Toner p/ Impressora Laserjet p2035/2055 CE5-05A</t>
  </si>
  <si>
    <t>Rolo Flip chart</t>
  </si>
  <si>
    <t>Loja Othelo</t>
  </si>
  <si>
    <t>Marcador flipchart</t>
  </si>
  <si>
    <t>Aluguer de equipamento de som (aparelhagem)</t>
  </si>
  <si>
    <t>Crachá</t>
  </si>
  <si>
    <t>Assistente CMC</t>
  </si>
  <si>
    <t>Exchange rate (USD)</t>
  </si>
  <si>
    <t>DETALHAR</t>
  </si>
  <si>
    <t>WADSON &amp; NOZELINO</t>
  </si>
  <si>
    <r>
      <t xml:space="preserve">AT  Internacional necessária; </t>
    </r>
    <r>
      <rPr>
        <sz val="10"/>
        <rFont val="Times New Roman"/>
        <family val="1"/>
      </rPr>
      <t xml:space="preserve">Actividade com forte pendor de uma Avaliação do Meio-Percurso, a ser realizada no 2º trimestre de 2015. </t>
    </r>
    <r>
      <rPr>
        <sz val="10"/>
        <color rgb="FFFF0000"/>
        <rFont val="Times New Roman"/>
        <family val="1"/>
      </rPr>
      <t>Haverá um atelier de apresentação desta avaliação</t>
    </r>
  </si>
  <si>
    <t>Reprodução de kits de comunicação</t>
  </si>
  <si>
    <t>Recrutar AT local</t>
  </si>
  <si>
    <t>1 reabilitação para Lobata em 2015 e um montante pequeno para 7 Lab para manutenção em 2017</t>
  </si>
  <si>
    <t>Parceiro de Implementação</t>
  </si>
  <si>
    <t>PNLT</t>
  </si>
  <si>
    <t>ISVSM</t>
  </si>
  <si>
    <t>PNUD</t>
  </si>
  <si>
    <t>FNM</t>
  </si>
  <si>
    <t>CNES</t>
  </si>
  <si>
    <t>Zatona Adil</t>
  </si>
  <si>
    <t>PNLS</t>
  </si>
  <si>
    <t>NLT</t>
  </si>
  <si>
    <t>DPS</t>
  </si>
  <si>
    <t>Coût de gestion et d’administration du programme</t>
  </si>
  <si>
    <t>S&amp;E</t>
  </si>
  <si>
    <t>Amélioration du diagnostic</t>
  </si>
  <si>
    <t xml:space="preserve">Gestion des achats et des stocks </t>
  </si>
  <si>
    <t>HSS (renforcement des systèmes de santé) :  Professionnels de la santé</t>
  </si>
  <si>
    <t xml:space="preserve">Sensibilisation, communication et mobilisation sociale </t>
  </si>
  <si>
    <t>PAL (approche pratique de la santé pulmonaire)</t>
  </si>
  <si>
    <t xml:space="preserve">Soins communautaires de la tuberculose </t>
  </si>
  <si>
    <t>Tuberculose / VIH</t>
  </si>
  <si>
    <t>Tuberculose à bacilles multirésistants</t>
  </si>
  <si>
    <t>Assumptions</t>
  </si>
  <si>
    <t>AT Local</t>
  </si>
  <si>
    <t>Será criado um grupo de trabalho composto por 10 pessoas (equipa central mais elementos dos distritos) durante 10 dias. Também será necessária uma AT local. Esta actividade será realizada de 2015 a 2017, T4</t>
  </si>
  <si>
    <t>Será criado um grupo de trabalho composto por 5 pessoas (ponto focal do ISVSM e equipa central) durante 3 dias.  Esta actividade será realizada de 2015 a 2017, T4</t>
  </si>
  <si>
    <t>Será criado um grupo de trabalho composto por 10 pessoas (equipa central mais elementos dos distritos) durante 3 dias. Também será necessária uma AT local. Esta actividade será realizada de 2015 a 2017, T4</t>
  </si>
  <si>
    <t>Atelier de 3 dias de duração e com a participação de 15 pessoas (equipa central mais equipa distrital mais um elemento de BP). Esta actividade será realizada em 2016, T2</t>
  </si>
  <si>
    <t>Asistente Laboratorio</t>
  </si>
  <si>
    <t>Responsável de Laboratorio</t>
  </si>
  <si>
    <t>Enfermeiro (Resp. Prev./Despistagem TB/HIV/ manejo de casos)</t>
  </si>
  <si>
    <t>Médico (responsável de manejo de casos TBMR)</t>
  </si>
  <si>
    <t>Médico (responsável de manejo de casos e supervisão)</t>
  </si>
  <si>
    <t>Resp. Suive et evaluation</t>
  </si>
  <si>
    <t>Resp. Admintrative &amp; Financeiro</t>
  </si>
  <si>
    <t>Asistente de IEC e formação</t>
  </si>
  <si>
    <t>Salaries of PNLS staff members (monthly salary for 1 PNLS director=$650,1 Resp. Prev./Despstagem=595 ,1 Resp. Manejo caso=595 , 1 Resp. Apoio psicologico=595, 1 Administrative assistant=382.50 Visita domiciliar=382.50 , 1 Tecnico Laboratório=$382, Apoio social , 1 driver=$212.50); ACTUALIZAR OS POSTOS E OS MONTANTES</t>
  </si>
  <si>
    <t>Formação de 3 técnicos de PNLT em Gestão do Programa  no exterior do país durante 3 semanas; 2015, T3</t>
  </si>
  <si>
    <t xml:space="preserve">Formar 2 pessoas (1 farmácia e 1 medico de programa) em gestão e aprovisionamento de medicamentos </t>
  </si>
  <si>
    <t>Formação no exterior o país e direccionada para 1 médico e 1 técnico de farmácia: dois formandos em 2015</t>
  </si>
  <si>
    <t>Formação no exterior o país e direccionada para 1 médico e 1 técnico de farmácia: dois formandos em 2015, T3</t>
  </si>
  <si>
    <t>Formação interna (1 sessão de 5 dias) prevista para 2015, T4</t>
  </si>
  <si>
    <t>Elaboração do plano de advocacia (assistência técnica Nacional). A actividade visa identificar, entre outros, eixos, natureza, metodologia, grupos alvo e a viabilização de um cronograma de acções susceptíveis de catalisar sinergias e engajamentos (decisores, financiadores e pessoal da saúde) na luta contra a TB. Esta ividade será realizada em 2015.</t>
  </si>
  <si>
    <t>Elaboração de um plano mobilização de recursos  (grupo de trabalho de 10 pessoas x 5 dias). Atividade a ser realizada em 2015 e 2017</t>
  </si>
  <si>
    <t>Actividade a ser implementada em consonância com o Plano Estratégico MEDICAMENTO; Assistência Técnica Nacional provavelmente necessária; trata-se de elaborar um documento guião com orientações claras sobre o conjunto de procedimento e sobretudo os intervenientes, entidades e responsabilidades da cadeia compra / transporte / armazenamento / conservação / distribuição / venda de medicamentos. Esta atividade está prevista para o ano 2015</t>
  </si>
  <si>
    <t>Formação no exterior o país e direccionada para 1 técnico em gestão administrativa. A ser realizada em 2015 e 2016</t>
  </si>
  <si>
    <t>Formação no exterior o país e direccionada aos técnicos em  Seguimento e avaliação: 1 formação/ano a ser realizada em 2015 e 2016</t>
  </si>
  <si>
    <t>Reciclar 12 Técnicos de Farmácia (6 CDT, 1 RAP, 3 HAM e 2 FNM) em gestão de medicamentos (1 sessão de 5 dias no Ano 3). A reciclagem está prevista para o 2º Trimestre de 2017</t>
  </si>
  <si>
    <t>Realizar Semestralmente encontros de coordenação entre os diferentes parceiros. Na prática esta actividade ocorrerá em 2 trimestres/ano, de 2015 à 2017; T1 e T3</t>
  </si>
  <si>
    <t>Realizar trimestralmente encontros de coordenação entre os diferentes níveis. Actividade contínua à partir do 2015-2017; todos os Trimestres</t>
  </si>
  <si>
    <t>Trata-se de assegurar  material e equipamentos nomeadamente os de comunicação e de escritório para o regular funcionamento do PNLT; 2015-2017 todos s trimestres.</t>
  </si>
  <si>
    <t>Actividade contínua à partir do T1 2015; trata-se muito particularmente de aquisição de combustível para funcionamento (administrativo) do PNLT</t>
  </si>
  <si>
    <t>Actividade da responsabilidade do sector administrativo-financeiro do programa. Seguro de transportes contra todos os riscos.</t>
  </si>
  <si>
    <t>Actividade de rotina da responsabilidade do sector administrativo-financeiro do programa, manutanção/reparação de viaturas</t>
  </si>
  <si>
    <t>A viatura prevista destina-se ao funcionamento do PNLT, com particular destaque para as actividades de Supervisão. 2015; T1</t>
  </si>
  <si>
    <t>Aquisição de 7 KIT informático (Computador, impressora, UPS e fotocopiadora): 1 Kit para FNM e os outros 6 para PNLT</t>
  </si>
  <si>
    <t>Contratar uma empresa para assegurar a manutenção dos equipamentos (informático, frigoríficos, ar condicionados, a) contínuo durante 5 anos. AT Nacional necessária. Contrato  desde 1º Trim 2015</t>
  </si>
  <si>
    <t>Adquirir 2 aparelho de medição da temperatura do ambiente – registo durante 24 horas (armazém de medicamentos), prevista para 2015, T1</t>
  </si>
  <si>
    <t xml:space="preserve">Assegurar o funcionamento do aparelho de medição da temperatura do ambiente; aquisição de rolo de registo de oscilação </t>
  </si>
  <si>
    <t>Criar um sistema de incentivos (individuais e colectivos, financeiros e não financeiros) baseados no desempenho</t>
  </si>
  <si>
    <t>Destinada-se, entre outros,  a se assegurar do regular funcionamento da cadeia  compra / transporte / armazenamento / conservação / distribuição / venda de medicamentos; custo anual = USD 2.314</t>
  </si>
  <si>
    <t>Trata-se de aquisição de Combustível para transporte (distribuição de medicamentos) e gerador (50 Lt por mês para Gerador) durante 5 anos</t>
  </si>
  <si>
    <t>Envio de medicamentos e outros consumíveis para Região Autonoma dp Príncipe</t>
  </si>
  <si>
    <t>O software a ser adquirido deverá ser parametrizado e adaptado as exigências do país em matéria de gestão de medicamentos; 2015, T2</t>
  </si>
  <si>
    <t>Trata-se muito particularmente de formação  de formadores que,  nos anos seguintes, assegurarão as formações práticas sobre a utilização do software para gestão do stock dos medicamentos</t>
  </si>
  <si>
    <t>Uma sessão única de formação, a ser desenvolvida em 5 dias e destinada à 15 técnicos envolvidos no registo/tratamento/análise de dados da TB, consolidados numa base de dados SPSS</t>
  </si>
  <si>
    <t>Actividade da responsabilidade da Unidade de Seguimento e Avaliação e destinada a actualização dos instrumentos de recolha de dados bem como a operacionalização do Plano S&amp;A.</t>
  </si>
  <si>
    <t>O atelier visa promover um debate/reflexão sobre o cumprimento do programado no Plano S&amp;A e pela mesma ocasião propor alternativas aos eventuais desajustamentos evidenciados.</t>
  </si>
  <si>
    <t>Implementar o sistema de registo electrónico de dados TB. Actividade a ser implementada com  apoio da OMS, parceiro junto ao qual já foram encetados contactos para o efeitos</t>
  </si>
  <si>
    <t xml:space="preserve"> Organizar a avaliação externa do plano estratégico. AT  Internacional necessária; Actividade com forte pendor de uma Avaliação do Meio-Percurso, a ser realizada no 1º trimestre de 2016. Haverá um atelier de apresentação desta avaliação</t>
  </si>
  <si>
    <t>Atelie de 5 dias com 10 técnicos estatísticos por ano para preenchimento das fichas e livro de registo. É de capital importância que o domínio do preenchimento das fichas seja dado adquirido o mais tarde em 2014, para que o processo recolha/registo - tratamento/analise -produção/difusão dos dados da TB alcance o sucesso desejado.</t>
  </si>
  <si>
    <t>Elaborar Kit de Comunicação com mensagens chaves de TB. Prevê-se a elaboração nomeadamente de folhetos, cartazes, bandeirolas, painel gigante, álbum seriado, camisolas, bonés, dísticos e vídeos, considerados de mensagens chaves na Comunicação/Sensibilização a TB</t>
  </si>
  <si>
    <t>Elaborar/adaptar e difundir Spot televisivo, radiofónico e Jornal. Actividade contínua destinada a Comunicação/Sensibilização a TB, a ser realizada semestralmente; 2015-2017, 2º e 3º Trimestre de cada ano.</t>
  </si>
  <si>
    <t>AT Nacional ou Internacional, necessária; actividade abrangente visando nomeadamente avaliar os conhecimentos, atitudes e práticas das populações em matéria de manifestação, prevenção e tratamento não só da TB, TB/MR como também da sua associação à outras patologias (HIV, por exemplo)</t>
  </si>
  <si>
    <t xml:space="preserve"> Sessões de advocacia junto aos decisores políticos e parceiros. A actividade visa  catalisar sinergias e engajamentos dos decisores políticos e parceiros na luta contra a TB, de um modo geral</t>
  </si>
  <si>
    <t>Formar 105 ASC em gestão comunitária/sensibilização sobre TB  (TB/HIV; TB/MR)- (5 Dias, em 4 sessões de 26 participantes cada, sendo 1 sessão de 26 na RAP, ano 1). Prevê-se a formação de 100 ASC e activistas em gestão comunitária/sensibilização sobre TB, TB/HIV, TB/MR.; haverá para o efeito  4 sessões de  formação, sendo cada uma de uma duração de 5 dias com  26 participantes; uma das sessões será realizada  na RAP</t>
  </si>
  <si>
    <t>Reciclar 105 ASC em gestão comunitária/sensibilização sobre TB  (TB/HIV; TB/MR)- (5 Dias, em 4 sessões de 26 participantes cada, sendo 1 sessão de 26 na RAP, ano 2015)</t>
  </si>
  <si>
    <t>Realizar palestras de sensibilização nas escolas (duas para cada distrito por ano). Prevê-se a realização anual de 2 palestras em cada distrito e para cada caso. Actividade contínua à partir do T2 2015;</t>
  </si>
  <si>
    <t>Actividade anual a ocorrer no 1º trimestre; de cada ano</t>
  </si>
  <si>
    <t>Não obstante o seu carácter prioritário esta actividade, que tem enquadramento no OGE, será realizada/concluída em T2 - 2015</t>
  </si>
  <si>
    <t>Actividade com arranque previsto para  T1 ano 2016 e T2 ano 2017. A  sua implementação está, em parte, condicionada à conclusão do laboratório (código 7. 5)</t>
  </si>
  <si>
    <t xml:space="preserve">Aquisição de reagentes e consumíveis de laboratório para os 7 CDT e HAM durante 5 anos </t>
  </si>
  <si>
    <t xml:space="preserve">Destina-se a assegurar o controlo de qualidade externo supranacional; actividade anual previstos para os anos 2015 e 2016; tudo </t>
  </si>
  <si>
    <t>Realizar controlo de qualidade das lâminas no laboratório nacional de referência, trimestralmente durante 5 anos.</t>
  </si>
  <si>
    <r>
      <t xml:space="preserve">Há necessidade de uma ATI; </t>
    </r>
    <r>
      <rPr>
        <sz val="10"/>
        <rFont val="Times New Roman"/>
        <family val="1"/>
      </rPr>
      <t>actividade prevista para os anos 2015, 2016 e 207</t>
    </r>
  </si>
  <si>
    <t>Formar 25 Técnicos de Laboratórios (14 CDT, Incluindo 2 RAP, 6 HAM e 3 LNR) realização de Baciloscopia e controlo de qualidade (CQ) (1 sessão de 5 dias no Ano 2015). Os 25 Técnicos de Laboratórios discriminados beneficiarão de uma sessão de formação de 5 dias de duração.</t>
  </si>
  <si>
    <t>Aprovisionar películas (    ) de RX.</t>
  </si>
  <si>
    <t>Adaptação do serviço de tisiologia; 2015, T2</t>
  </si>
  <si>
    <t>Formação no esterios destinada a quadros tecnicos do programa</t>
  </si>
  <si>
    <t>Desina-se aos tecnicos de laboratorio do HAM</t>
  </si>
  <si>
    <t>Elaborar directrizes sua implementação para recolha de amostras</t>
  </si>
  <si>
    <t>Criar um grupo de trabalho</t>
  </si>
  <si>
    <t>Aguisição de medicamentos. Prevista para os anos 2015, 2016 e 2017, no T1 de cada ano</t>
  </si>
  <si>
    <t>Fomar menbro da comunidade envolvido no DOT. Bros por trimestrePrevisto para o ano 2015,2016 e 2017, em todos os trimestes, sendo 25 mem</t>
  </si>
  <si>
    <t>Formar os pontos focais de TB, os RDs dos distritos e tecnicos do HAM</t>
  </si>
  <si>
    <t>Elaboração e Multiplicação de fichas</t>
  </si>
  <si>
    <t>Medicamentos para efeitos adversos</t>
  </si>
  <si>
    <t>Elaboração do Plano….</t>
  </si>
  <si>
    <t>Toner para impressora e fotocopiadora</t>
  </si>
  <si>
    <t>Adquirir 7 KIT informático (Computador, impressora, UPS e fotocopiadora) para "1 para IFSVSM, 6 para PNLT"</t>
  </si>
  <si>
    <t>Realização de inquerito, previsto para o ano 2015, T3</t>
  </si>
  <si>
    <t>reprdoduzir materiais de comunicação (Cartazes, folhetos, desdobraveis, bonés, camisolas)</t>
  </si>
  <si>
    <t>Implicação dos ASC. Aquisição de combustivel para motorizadas.</t>
  </si>
  <si>
    <t>Multiplicar e disseminar 100 exemplares de modulo de formação em manejo de casos de TB; ano 2015 T1</t>
  </si>
  <si>
    <t>A formação será realizada no exterior o país e concluída ao longo do ano 2014; está direccionada para 2 técnicos da Saúde. A ser realizada em 2015 T3</t>
  </si>
  <si>
    <t>Atiliê ….</t>
  </si>
  <si>
    <t>Respiradores</t>
  </si>
  <si>
    <t>Mascaras cirúrgicas</t>
  </si>
  <si>
    <t>Lampadas infravermelha</t>
  </si>
  <si>
    <t>Aguisição de mascaras respiratorias, cirurgicas e lâmpadas infravermelhas para o HAM e Centros distritais. Prevista para os anos 2015,2016 e 2017, em T1 de cada ano</t>
  </si>
  <si>
    <t>Aquisiçãode meios de  protecção (individual e colectiva)contra a infecção tuberculosa</t>
  </si>
  <si>
    <t>Ateliê….</t>
  </si>
  <si>
    <t>Ateliê de 35 pessoas durante cindo dias, e uma validação de 1 dia. Ano 2015 T3</t>
  </si>
  <si>
    <t>Aguisição de combustivel e comunicação para realização da advogacia. Ano 2015 T2</t>
  </si>
  <si>
    <t>Per diem para RAP (facilitadores)</t>
  </si>
  <si>
    <t>Bilhete de passagem Nacional facilitadores)</t>
  </si>
  <si>
    <t xml:space="preserve"> former  150 personnel  de terrain sur le contrôle de l’infection tuberculeuse  en milieu de soins (ano1=75; ano 2=75 3 secssões de 5 dias)</t>
  </si>
  <si>
    <t>Mecanismo de farmacovigilância para pacientes em tratamento. Prevista para 2015, 2016 e 2017, T2 de cada ano.</t>
  </si>
  <si>
    <t>Domínios e Intervenções</t>
  </si>
  <si>
    <t>Total</t>
  </si>
</sst>
</file>

<file path=xl/styles.xml><?xml version="1.0" encoding="utf-8"?>
<styleSheet xmlns="http://schemas.openxmlformats.org/spreadsheetml/2006/main">
  <numFmts count="9">
    <numFmt numFmtId="43" formatCode="_-* #,##0.00\ _€_-;\-* #,##0.00\ _€_-;_-* &quot;-&quot;??\ _€_-;_-@_-"/>
    <numFmt numFmtId="164" formatCode="_(* #,##0.00_);_(* \(#,##0.00\);_(* &quot;-&quot;??_);_(@_)"/>
    <numFmt numFmtId="165" formatCode="#,##0.0"/>
    <numFmt numFmtId="166" formatCode="#,##0.000000"/>
    <numFmt numFmtId="167" formatCode="#,##0.00000000"/>
    <numFmt numFmtId="168" formatCode="#,##0.00000"/>
    <numFmt numFmtId="169" formatCode="0.0"/>
    <numFmt numFmtId="170" formatCode="_-* #,##0\ _€_-;\-* #,##0\ _€_-;_-* &quot;-&quot;??\ _€_-;_-@_-"/>
    <numFmt numFmtId="171" formatCode="_(* #,##0_);_(* \(#,##0\);_(* &quot;-&quot;??_);_(@_)"/>
  </numFmts>
  <fonts count="76">
    <font>
      <sz val="11"/>
      <color theme="1"/>
      <name val="Calibri"/>
      <family val="2"/>
      <scheme val="minor"/>
    </font>
    <font>
      <b/>
      <sz val="9"/>
      <color indexed="81"/>
      <name val="Tahoma"/>
      <family val="2"/>
    </font>
    <font>
      <sz val="9"/>
      <color indexed="81"/>
      <name val="Tahoma"/>
      <family val="2"/>
    </font>
    <font>
      <sz val="10"/>
      <name val="Times New Roman"/>
      <family val="1"/>
    </font>
    <font>
      <sz val="10"/>
      <color theme="1"/>
      <name val="Times New Roman"/>
      <family val="1"/>
    </font>
    <font>
      <sz val="11"/>
      <color theme="1"/>
      <name val="Times New Roman"/>
      <family val="1"/>
    </font>
    <font>
      <sz val="8"/>
      <color rgb="FF000000"/>
      <name val="Times New Roman"/>
      <family val="1"/>
    </font>
    <font>
      <sz val="8"/>
      <color theme="1"/>
      <name val="Times New Roman"/>
      <family val="1"/>
    </font>
    <font>
      <sz val="8"/>
      <color rgb="FFC00000"/>
      <name val="Times New Roman"/>
      <family val="1"/>
    </font>
    <font>
      <sz val="10"/>
      <color rgb="FF000000"/>
      <name val="Times New Roman"/>
      <family val="1"/>
    </font>
    <font>
      <b/>
      <sz val="11"/>
      <color rgb="FF000099"/>
      <name val="Times New Roman"/>
      <family val="1"/>
    </font>
    <font>
      <sz val="8"/>
      <color rgb="FFFF0000"/>
      <name val="Times New Roman"/>
      <family val="1"/>
    </font>
    <font>
      <b/>
      <sz val="8"/>
      <color rgb="FFFF0000"/>
      <name val="Times New Roman"/>
      <family val="1"/>
    </font>
    <font>
      <b/>
      <sz val="10"/>
      <color rgb="FF000000"/>
      <name val="Times New Roman"/>
      <family val="1"/>
    </font>
    <font>
      <sz val="7"/>
      <color theme="1"/>
      <name val="Times New Roman"/>
      <family val="1"/>
    </font>
    <font>
      <sz val="11"/>
      <color theme="1"/>
      <name val="Stencil"/>
      <family val="5"/>
    </font>
    <font>
      <sz val="11"/>
      <color theme="1"/>
      <name val="Times New Roman"/>
      <family val="2"/>
    </font>
    <font>
      <b/>
      <sz val="8"/>
      <color rgb="FF000000"/>
      <name val="Times New Roman"/>
      <family val="1"/>
    </font>
    <font>
      <sz val="10"/>
      <color rgb="FFFF0000"/>
      <name val="Times New Roman"/>
      <family val="1"/>
    </font>
    <font>
      <b/>
      <sz val="11"/>
      <color theme="1"/>
      <name val="Times New Roman"/>
      <family val="1"/>
    </font>
    <font>
      <sz val="8"/>
      <color rgb="FF000099"/>
      <name val="Times New Roman"/>
      <family val="1"/>
    </font>
    <font>
      <b/>
      <sz val="10"/>
      <color indexed="81"/>
      <name val="Times New Roman"/>
      <family val="1"/>
    </font>
    <font>
      <b/>
      <sz val="8"/>
      <color rgb="FF000099"/>
      <name val="Times New Roman"/>
      <family val="1"/>
    </font>
    <font>
      <i/>
      <sz val="9"/>
      <color indexed="81"/>
      <name val="Tahoma"/>
      <family val="2"/>
    </font>
    <font>
      <b/>
      <sz val="8"/>
      <color theme="1"/>
      <name val="Times New Roman"/>
      <family val="1"/>
    </font>
    <font>
      <sz val="12"/>
      <color rgb="FF7030A0"/>
      <name val="Arial Black"/>
      <family val="2"/>
    </font>
    <font>
      <sz val="12"/>
      <color theme="1"/>
      <name val="Times New Roman"/>
      <family val="1"/>
    </font>
    <font>
      <sz val="11"/>
      <color theme="1"/>
      <name val="Calibri"/>
      <family val="2"/>
      <scheme val="minor"/>
    </font>
    <font>
      <sz val="14"/>
      <color theme="0"/>
      <name val="Arial Black"/>
      <family val="2"/>
    </font>
    <font>
      <sz val="11"/>
      <color theme="0"/>
      <name val="Arial Black"/>
      <family val="2"/>
    </font>
    <font>
      <sz val="11"/>
      <name val="Times New Roman"/>
      <family val="1"/>
    </font>
    <font>
      <b/>
      <sz val="11"/>
      <name val="Times New Roman"/>
      <family val="1"/>
    </font>
    <font>
      <sz val="12"/>
      <name val="Arial Black"/>
      <family val="2"/>
    </font>
    <font>
      <b/>
      <sz val="9"/>
      <color theme="1"/>
      <name val="Times New Roman"/>
      <family val="1"/>
    </font>
    <font>
      <sz val="11"/>
      <color rgb="FFC00000"/>
      <name val="Times New Roman"/>
      <family val="1"/>
    </font>
    <font>
      <sz val="11"/>
      <color rgb="FF000000"/>
      <name val="Times New Roman"/>
      <family val="1"/>
    </font>
    <font>
      <sz val="11"/>
      <color rgb="FF990000"/>
      <name val="Times New Roman"/>
      <family val="1"/>
    </font>
    <font>
      <b/>
      <sz val="12"/>
      <color theme="1"/>
      <name val="Arial"/>
      <family val="2"/>
    </font>
    <font>
      <b/>
      <sz val="10"/>
      <color rgb="FF0000CC"/>
      <name val="Times New Roman"/>
      <family val="1"/>
    </font>
    <font>
      <sz val="9"/>
      <color rgb="FF0000CC"/>
      <name val="Times New Roman"/>
      <family val="1"/>
    </font>
    <font>
      <sz val="9"/>
      <name val="Times New Roman"/>
      <family val="1"/>
    </font>
    <font>
      <b/>
      <sz val="9"/>
      <color rgb="FFFF0000"/>
      <name val="Calibri"/>
      <family val="2"/>
    </font>
    <font>
      <b/>
      <sz val="10"/>
      <color theme="1"/>
      <name val="Times New Roman"/>
      <family val="1"/>
    </font>
    <font>
      <b/>
      <sz val="9"/>
      <color theme="1"/>
      <name val="Calibri"/>
      <family val="2"/>
    </font>
    <font>
      <sz val="9"/>
      <color theme="1"/>
      <name val="Calibri"/>
      <family val="2"/>
    </font>
    <font>
      <b/>
      <sz val="12"/>
      <color rgb="FF000000"/>
      <name val="Arial"/>
      <family val="2"/>
    </font>
    <font>
      <b/>
      <i/>
      <sz val="10"/>
      <color theme="1"/>
      <name val="Times New Roman"/>
      <family val="1"/>
    </font>
    <font>
      <i/>
      <sz val="10"/>
      <color theme="1"/>
      <name val="Times New Roman"/>
      <family val="1"/>
    </font>
    <font>
      <u/>
      <sz val="10"/>
      <name val="Times New Roman"/>
      <family val="1"/>
    </font>
    <font>
      <b/>
      <u/>
      <sz val="10"/>
      <color theme="1"/>
      <name val="Times New Roman"/>
      <family val="1"/>
    </font>
    <font>
      <b/>
      <sz val="12"/>
      <name val="Arial"/>
      <family val="2"/>
    </font>
    <font>
      <b/>
      <sz val="10"/>
      <color rgb="FFC00000"/>
      <name val="Times New Roman"/>
      <family val="1"/>
    </font>
    <font>
      <b/>
      <sz val="10"/>
      <name val="Times New Roman"/>
      <family val="1"/>
    </font>
    <font>
      <b/>
      <i/>
      <sz val="11"/>
      <color rgb="FF990000"/>
      <name val="Times New Roman"/>
      <family val="1"/>
    </font>
    <font>
      <b/>
      <i/>
      <sz val="11"/>
      <color rgb="FF990000"/>
      <name val="Calibri"/>
      <family val="2"/>
      <scheme val="minor"/>
    </font>
    <font>
      <b/>
      <sz val="9"/>
      <name val="Calibri"/>
      <family val="2"/>
    </font>
    <font>
      <sz val="7"/>
      <name val="Times New Roman"/>
      <family val="1"/>
    </font>
    <font>
      <sz val="9"/>
      <name val="Calibri"/>
      <family val="2"/>
    </font>
    <font>
      <b/>
      <sz val="7"/>
      <color theme="1"/>
      <name val="Times New Roman"/>
      <family val="1"/>
    </font>
    <font>
      <b/>
      <sz val="11"/>
      <color rgb="FF990000"/>
      <name val="Times New Roman"/>
      <family val="1"/>
    </font>
    <font>
      <b/>
      <sz val="11"/>
      <color theme="0"/>
      <name val="Times New Roman"/>
      <family val="1"/>
    </font>
    <font>
      <b/>
      <sz val="8"/>
      <color theme="0"/>
      <name val="Times New Roman"/>
      <family val="1"/>
    </font>
    <font>
      <b/>
      <sz val="11"/>
      <color theme="1"/>
      <name val="Calibri"/>
      <family val="2"/>
      <scheme val="minor"/>
    </font>
    <font>
      <b/>
      <u/>
      <sz val="20"/>
      <color theme="1"/>
      <name val="Calibri"/>
      <family val="2"/>
      <scheme val="minor"/>
    </font>
    <font>
      <b/>
      <sz val="10"/>
      <name val="Arial"/>
      <family val="2"/>
    </font>
    <font>
      <sz val="10"/>
      <name val="Arial"/>
      <family val="2"/>
    </font>
    <font>
      <sz val="11"/>
      <color indexed="8"/>
      <name val="Calibri"/>
      <family val="2"/>
    </font>
    <font>
      <sz val="11"/>
      <color rgb="FFFF0000"/>
      <name val="Times New Roman"/>
      <family val="1"/>
    </font>
    <font>
      <b/>
      <sz val="11"/>
      <color rgb="FFFF0000"/>
      <name val="Times New Roman"/>
      <family val="1"/>
    </font>
    <font>
      <sz val="9"/>
      <color rgb="FFFF0000"/>
      <name val="Calibri"/>
      <family val="2"/>
    </font>
    <font>
      <sz val="9"/>
      <name val="Calibri"/>
      <family val="2"/>
      <scheme val="minor"/>
    </font>
    <font>
      <b/>
      <sz val="10"/>
      <color rgb="FFFF0000"/>
      <name val="Arial"/>
      <family val="2"/>
    </font>
    <font>
      <b/>
      <sz val="9"/>
      <name val="Calibri"/>
      <family val="2"/>
      <scheme val="minor"/>
    </font>
    <font>
      <b/>
      <sz val="9"/>
      <color rgb="FFFF0000"/>
      <name val="Calibri"/>
      <family val="2"/>
      <scheme val="minor"/>
    </font>
    <font>
      <b/>
      <sz val="11"/>
      <color rgb="FF000000"/>
      <name val="Calibri"/>
      <family val="2"/>
    </font>
    <font>
      <sz val="11"/>
      <color rgb="FF000000"/>
      <name val="Calibri"/>
      <family val="2"/>
    </font>
  </fonts>
  <fills count="35">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rgb="FF7030A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7" tint="0.59999389629810485"/>
        <bgColor indexed="64"/>
      </patternFill>
    </fill>
    <fill>
      <patternFill patternType="solid">
        <fgColor rgb="FFFFFFFF"/>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7" tint="-0.249977111117893"/>
        <bgColor indexed="64"/>
      </patternFill>
    </fill>
    <fill>
      <patternFill patternType="solid">
        <fgColor theme="5" tint="0.39997558519241921"/>
        <bgColor indexed="64"/>
      </patternFill>
    </fill>
    <fill>
      <patternFill patternType="solid">
        <fgColor rgb="FFFFFFC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0"/>
        <bgColor indexed="64"/>
      </patternFill>
    </fill>
    <fill>
      <patternFill patternType="solid">
        <fgColor theme="1" tint="0.14999847407452621"/>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66FFFF"/>
        <bgColor indexed="64"/>
      </patternFill>
    </fill>
    <fill>
      <patternFill patternType="solid">
        <fgColor theme="2" tint="-0.749992370372631"/>
        <bgColor indexed="64"/>
      </patternFill>
    </fill>
    <fill>
      <patternFill patternType="solid">
        <fgColor theme="9" tint="-0.249977111117893"/>
        <bgColor indexed="64"/>
      </patternFill>
    </fill>
    <fill>
      <patternFill patternType="solid">
        <fgColor rgb="FF00B0F0"/>
        <bgColor indexed="64"/>
      </patternFill>
    </fill>
    <fill>
      <patternFill patternType="solid">
        <fgColor rgb="FFCCFF99"/>
        <bgColor indexed="64"/>
      </patternFill>
    </fill>
    <fill>
      <patternFill patternType="solid">
        <fgColor rgb="FFFFB9FF"/>
        <bgColor indexed="64"/>
      </patternFill>
    </fill>
    <fill>
      <patternFill patternType="solid">
        <fgColor theme="6" tint="-0.249977111117893"/>
        <bgColor indexed="64"/>
      </patternFill>
    </fill>
    <fill>
      <patternFill patternType="solid">
        <fgColor rgb="FFFFFF4B"/>
        <bgColor indexed="64"/>
      </patternFill>
    </fill>
    <fill>
      <patternFill patternType="solid">
        <fgColor rgb="FFFF99FF"/>
        <bgColor indexed="64"/>
      </patternFill>
    </fill>
    <fill>
      <patternFill patternType="solid">
        <fgColor theme="5" tint="0.59999389629810485"/>
        <bgColor indexed="64"/>
      </patternFill>
    </fill>
    <fill>
      <patternFill patternType="solid">
        <fgColor theme="0" tint="-0.14996795556505021"/>
        <bgColor indexed="64"/>
      </patternFill>
    </fill>
    <fill>
      <patternFill patternType="solid">
        <fgColor rgb="FFFFC000"/>
        <bgColor indexed="64"/>
      </patternFill>
    </fill>
    <fill>
      <patternFill patternType="solid">
        <fgColor rgb="FF92D050"/>
        <bgColor indexed="64"/>
      </patternFill>
    </fill>
    <fill>
      <patternFill patternType="solid">
        <fgColor rgb="FFDCE6F1"/>
        <bgColor indexed="64"/>
      </patternFill>
    </fill>
    <fill>
      <patternFill patternType="solid">
        <fgColor rgb="FFF2DBDB"/>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s>
  <cellStyleXfs count="4">
    <xf numFmtId="0" fontId="0" fillId="0" borderId="0"/>
    <xf numFmtId="0" fontId="16" fillId="0" borderId="0"/>
    <xf numFmtId="43" fontId="27" fillId="0" borderId="0" applyFont="0" applyFill="0" applyBorder="0" applyAlignment="0" applyProtection="0"/>
    <xf numFmtId="9" fontId="27" fillId="0" borderId="0" applyFont="0" applyFill="0" applyBorder="0" applyAlignment="0" applyProtection="0"/>
  </cellStyleXfs>
  <cellXfs count="397">
    <xf numFmtId="0" fontId="0" fillId="0" borderId="0" xfId="0"/>
    <xf numFmtId="0" fontId="4" fillId="0" borderId="1" xfId="0" applyFont="1" applyFill="1" applyBorder="1" applyAlignment="1">
      <alignment horizontal="center" vertical="center" wrapText="1"/>
    </xf>
    <xf numFmtId="0" fontId="5" fillId="0" borderId="0" xfId="0" applyFont="1"/>
    <xf numFmtId="0" fontId="5" fillId="0" borderId="0" xfId="0" applyNumberFormat="1" applyFont="1"/>
    <xf numFmtId="1" fontId="5" fillId="0" borderId="0" xfId="0" applyNumberFormat="1" applyFont="1"/>
    <xf numFmtId="0" fontId="6" fillId="8" borderId="1" xfId="0" applyFont="1" applyFill="1" applyBorder="1" applyAlignment="1">
      <alignment horizontal="center" vertical="center" wrapText="1"/>
    </xf>
    <xf numFmtId="1" fontId="6" fillId="8"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4" fillId="0" borderId="1" xfId="0" applyFont="1" applyBorder="1" applyAlignment="1">
      <alignment horizontal="center" vertical="center" wrapText="1"/>
    </xf>
    <xf numFmtId="0" fontId="9" fillId="8" borderId="1" xfId="0" applyFont="1" applyFill="1" applyBorder="1" applyAlignment="1">
      <alignment horizontal="center" vertical="center" wrapText="1"/>
    </xf>
    <xf numFmtId="0" fontId="6" fillId="8" borderId="1" xfId="0" applyNumberFormat="1" applyFont="1" applyFill="1" applyBorder="1" applyAlignment="1">
      <alignment horizontal="center" vertical="center" wrapText="1"/>
    </xf>
    <xf numFmtId="1" fontId="12" fillId="8" borderId="1" xfId="0" applyNumberFormat="1" applyFont="1" applyFill="1" applyBorder="1" applyAlignment="1">
      <alignment horizontal="center" vertical="center" wrapText="1"/>
    </xf>
    <xf numFmtId="0" fontId="7" fillId="8"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 fontId="11" fillId="8" borderId="1" xfId="0" applyNumberFormat="1" applyFont="1" applyFill="1" applyBorder="1" applyAlignment="1">
      <alignment horizontal="center" vertical="center" wrapText="1"/>
    </xf>
    <xf numFmtId="0" fontId="7" fillId="11" borderId="1" xfId="0" applyFont="1" applyFill="1" applyBorder="1" applyAlignment="1">
      <alignment horizontal="center" vertical="center" wrapText="1"/>
    </xf>
    <xf numFmtId="0" fontId="15" fillId="0" borderId="0" xfId="0" applyFont="1"/>
    <xf numFmtId="0" fontId="5" fillId="0" borderId="1" xfId="0" applyFont="1" applyFill="1" applyBorder="1"/>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7" fillId="0" borderId="2" xfId="0" applyFont="1" applyBorder="1" applyAlignment="1">
      <alignment horizontal="center" vertical="center" wrapText="1"/>
    </xf>
    <xf numFmtId="0" fontId="17" fillId="8"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7" fillId="10" borderId="2"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5" borderId="4" xfId="0" applyFont="1" applyFill="1" applyBorder="1" applyAlignment="1">
      <alignment vertical="center" wrapText="1"/>
    </xf>
    <xf numFmtId="0" fontId="14" fillId="5" borderId="5" xfId="0" applyFont="1" applyFill="1" applyBorder="1" applyAlignment="1">
      <alignment vertical="center" textRotation="90" wrapText="1"/>
    </xf>
    <xf numFmtId="0" fontId="20"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10" borderId="2"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0" fillId="0" borderId="2" xfId="0" applyFont="1" applyBorder="1" applyAlignment="1">
      <alignment horizontal="center" vertical="center" wrapText="1"/>
    </xf>
    <xf numFmtId="0" fontId="20" fillId="12" borderId="2" xfId="0" applyFont="1" applyFill="1" applyBorder="1" applyAlignment="1">
      <alignment horizontal="center" vertical="center" wrapText="1"/>
    </xf>
    <xf numFmtId="2" fontId="11" fillId="0" borderId="1" xfId="0" applyNumberFormat="1" applyFont="1" applyBorder="1" applyAlignment="1">
      <alignment horizontal="center" vertical="center" wrapText="1"/>
    </xf>
    <xf numFmtId="2" fontId="11" fillId="0" borderId="1" xfId="0" applyNumberFormat="1" applyFont="1" applyFill="1" applyBorder="1" applyAlignment="1">
      <alignment horizontal="center" vertical="center" wrapText="1"/>
    </xf>
    <xf numFmtId="2" fontId="12" fillId="8" borderId="1" xfId="0" applyNumberFormat="1" applyFont="1" applyFill="1" applyBorder="1" applyAlignment="1">
      <alignment horizontal="center" vertical="center" wrapText="1"/>
    </xf>
    <xf numFmtId="2" fontId="12" fillId="0" borderId="1" xfId="0" applyNumberFormat="1" applyFont="1" applyBorder="1" applyAlignment="1">
      <alignment horizontal="center" vertical="center" wrapText="1"/>
    </xf>
    <xf numFmtId="2" fontId="12" fillId="3" borderId="1" xfId="0" applyNumberFormat="1" applyFont="1" applyFill="1" applyBorder="1" applyAlignment="1">
      <alignment horizontal="center" vertical="center" wrapText="1"/>
    </xf>
    <xf numFmtId="2" fontId="11" fillId="8" borderId="1" xfId="0" applyNumberFormat="1" applyFont="1" applyFill="1" applyBorder="1" applyAlignment="1">
      <alignment horizontal="center" vertical="center" wrapText="1"/>
    </xf>
    <xf numFmtId="2" fontId="11" fillId="3" borderId="1" xfId="0" applyNumberFormat="1" applyFont="1" applyFill="1" applyBorder="1" applyAlignment="1">
      <alignment horizontal="center" vertical="center" wrapText="1"/>
    </xf>
    <xf numFmtId="0" fontId="20" fillId="12"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9" fillId="10" borderId="1" xfId="0" applyFont="1" applyFill="1" applyBorder="1" applyAlignment="1">
      <alignment horizontal="center" vertical="center" wrapText="1"/>
    </xf>
    <xf numFmtId="0" fontId="4" fillId="0" borderId="1" xfId="0" applyFont="1" applyFill="1" applyBorder="1" applyAlignment="1">
      <alignment vertical="center" wrapText="1"/>
    </xf>
    <xf numFmtId="0" fontId="5" fillId="5" borderId="4" xfId="0" applyFont="1" applyFill="1" applyBorder="1" applyAlignment="1">
      <alignment horizontal="center" vertical="center" wrapText="1"/>
    </xf>
    <xf numFmtId="0" fontId="5" fillId="0" borderId="2" xfId="0" applyFont="1" applyFill="1" applyBorder="1" applyAlignment="1">
      <alignment horizontal="center"/>
    </xf>
    <xf numFmtId="0" fontId="5" fillId="0" borderId="1" xfId="0" applyFont="1" applyBorder="1"/>
    <xf numFmtId="0" fontId="5" fillId="0" borderId="1" xfId="0" applyFont="1" applyFill="1" applyBorder="1" applyAlignment="1">
      <alignment horizontal="center" vertical="center"/>
    </xf>
    <xf numFmtId="0" fontId="8" fillId="6" borderId="1" xfId="0" applyFont="1" applyFill="1" applyBorder="1" applyAlignment="1">
      <alignment horizontal="center" vertical="center" wrapText="1"/>
    </xf>
    <xf numFmtId="1" fontId="6" fillId="6" borderId="1" xfId="0" applyNumberFormat="1"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13" fillId="2" borderId="6" xfId="0" applyFont="1" applyFill="1" applyBorder="1" applyAlignment="1">
      <alignment vertical="center" wrapText="1"/>
    </xf>
    <xf numFmtId="2" fontId="12" fillId="6" borderId="1" xfId="0" applyNumberFormat="1" applyFont="1" applyFill="1" applyBorder="1" applyAlignment="1">
      <alignment horizontal="center" vertical="center" wrapText="1"/>
    </xf>
    <xf numFmtId="4" fontId="24" fillId="0" borderId="1" xfId="0" applyNumberFormat="1" applyFont="1" applyBorder="1" applyAlignment="1">
      <alignment horizontal="center" vertical="center"/>
    </xf>
    <xf numFmtId="0" fontId="3" fillId="0" borderId="1" xfId="0" applyFont="1" applyFill="1" applyBorder="1" applyAlignment="1">
      <alignment vertical="center" wrapText="1"/>
    </xf>
    <xf numFmtId="1" fontId="4"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Border="1" applyAlignment="1">
      <alignment vertical="center" wrapText="1"/>
    </xf>
    <xf numFmtId="2" fontId="11" fillId="13" borderId="1" xfId="0" applyNumberFormat="1" applyFont="1" applyFill="1" applyBorder="1" applyAlignment="1">
      <alignment horizontal="center" vertical="center" wrapText="1"/>
    </xf>
    <xf numFmtId="165" fontId="11" fillId="0" borderId="1" xfId="0" applyNumberFormat="1" applyFont="1" applyFill="1" applyBorder="1" applyAlignment="1">
      <alignment vertical="center" wrapText="1"/>
    </xf>
    <xf numFmtId="2" fontId="20" fillId="3" borderId="1" xfId="0" applyNumberFormat="1" applyFont="1" applyFill="1" applyBorder="1" applyAlignment="1">
      <alignment horizontal="center" vertical="center" wrapText="1"/>
    </xf>
    <xf numFmtId="2" fontId="22" fillId="3" borderId="1" xfId="0" applyNumberFormat="1" applyFont="1" applyFill="1" applyBorder="1" applyAlignment="1">
      <alignment horizontal="center" vertical="center" wrapText="1"/>
    </xf>
    <xf numFmtId="0" fontId="13" fillId="14" borderId="5"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6" fillId="9" borderId="1" xfId="0" applyFont="1" applyFill="1" applyBorder="1" applyAlignment="1">
      <alignment horizontal="center" vertical="center" textRotation="90" wrapText="1"/>
    </xf>
    <xf numFmtId="0" fontId="7" fillId="5" borderId="4" xfId="0" applyFont="1" applyFill="1" applyBorder="1" applyAlignment="1">
      <alignment horizontal="center" vertical="center" textRotation="90" wrapText="1"/>
    </xf>
    <xf numFmtId="0" fontId="13" fillId="2" borderId="1" xfId="0" applyFont="1" applyFill="1" applyBorder="1" applyAlignment="1">
      <alignment horizontal="center" vertical="center" wrapText="1"/>
    </xf>
    <xf numFmtId="4" fontId="9" fillId="8" borderId="1" xfId="0" applyNumberFormat="1" applyFont="1" applyFill="1" applyBorder="1" applyAlignment="1">
      <alignment horizontal="center" vertical="center" wrapText="1"/>
    </xf>
    <xf numFmtId="4" fontId="13" fillId="8" borderId="1" xfId="0" applyNumberFormat="1" applyFont="1" applyFill="1" applyBorder="1" applyAlignment="1">
      <alignment horizontal="center" vertical="center" wrapText="1"/>
    </xf>
    <xf numFmtId="0" fontId="5" fillId="5" borderId="1" xfId="0" applyFont="1" applyFill="1" applyBorder="1" applyAlignment="1">
      <alignment vertical="center" wrapText="1"/>
    </xf>
    <xf numFmtId="0" fontId="13" fillId="2" borderId="5" xfId="0" applyFont="1" applyFill="1" applyBorder="1" applyAlignment="1">
      <alignment horizontal="center" vertical="center" wrapText="1"/>
    </xf>
    <xf numFmtId="0" fontId="14" fillId="5" borderId="5" xfId="0" applyFont="1" applyFill="1" applyBorder="1" applyAlignment="1">
      <alignment horizontal="center" vertical="top" textRotation="90"/>
    </xf>
    <xf numFmtId="2" fontId="22" fillId="8" borderId="1" xfId="0" applyNumberFormat="1" applyFont="1" applyFill="1" applyBorder="1" applyAlignment="1">
      <alignment horizontal="center" vertical="center" wrapText="1"/>
    </xf>
    <xf numFmtId="0" fontId="25" fillId="0" borderId="0" xfId="0" applyFont="1"/>
    <xf numFmtId="0" fontId="0" fillId="0" borderId="0" xfId="0" pivotButton="1"/>
    <xf numFmtId="0" fontId="0" fillId="0" borderId="0" xfId="0" applyAlignment="1">
      <alignment horizontal="left"/>
    </xf>
    <xf numFmtId="0" fontId="0" fillId="0" borderId="0" xfId="0" applyNumberFormat="1"/>
    <xf numFmtId="2" fontId="11" fillId="15" borderId="1" xfId="0" applyNumberFormat="1" applyFont="1" applyFill="1" applyBorder="1" applyAlignment="1">
      <alignment horizontal="center" vertical="center" wrapText="1"/>
    </xf>
    <xf numFmtId="0" fontId="0" fillId="0" borderId="0" xfId="0" applyFill="1"/>
    <xf numFmtId="0" fontId="4" fillId="0" borderId="1" xfId="0" applyFont="1" applyFill="1" applyBorder="1" applyAlignment="1">
      <alignment horizontal="center" vertical="center" textRotation="90" wrapText="1"/>
    </xf>
    <xf numFmtId="0" fontId="30" fillId="14" borderId="1" xfId="0" applyFont="1" applyFill="1" applyBorder="1" applyAlignment="1">
      <alignment horizontal="center" vertical="center" textRotation="90"/>
    </xf>
    <xf numFmtId="0" fontId="31" fillId="14" borderId="1" xfId="0" applyFont="1" applyFill="1" applyBorder="1" applyAlignment="1">
      <alignment horizontal="center" vertical="center" textRotation="90"/>
    </xf>
    <xf numFmtId="0" fontId="32" fillId="14" borderId="1" xfId="0" applyFont="1" applyFill="1" applyBorder="1" applyAlignment="1">
      <alignment horizontal="center" vertical="center"/>
    </xf>
    <xf numFmtId="0" fontId="32" fillId="14" borderId="1" xfId="0" applyFont="1" applyFill="1" applyBorder="1" applyAlignment="1">
      <alignment horizontal="center" vertical="center" wrapText="1"/>
    </xf>
    <xf numFmtId="0" fontId="31" fillId="18" borderId="1" xfId="0" applyFont="1" applyFill="1" applyBorder="1" applyAlignment="1">
      <alignment horizontal="center" vertical="center"/>
    </xf>
    <xf numFmtId="0" fontId="33" fillId="18" borderId="1" xfId="0" applyFont="1" applyFill="1" applyBorder="1" applyAlignment="1">
      <alignment horizontal="center" vertical="center" textRotation="90" wrapText="1"/>
    </xf>
    <xf numFmtId="0" fontId="19" fillId="18" borderId="1" xfId="0" applyFont="1" applyFill="1" applyBorder="1" applyAlignment="1">
      <alignment horizontal="center" vertical="center" textRotation="90" wrapText="1"/>
    </xf>
    <xf numFmtId="0" fontId="34" fillId="19" borderId="1" xfId="0" applyFont="1" applyFill="1" applyBorder="1" applyAlignment="1">
      <alignment horizontal="center" vertical="center" textRotation="90" wrapText="1"/>
    </xf>
    <xf numFmtId="0" fontId="35" fillId="9" borderId="1" xfId="0" applyFont="1" applyFill="1" applyBorder="1" applyAlignment="1">
      <alignment vertical="center" textRotation="90" wrapText="1"/>
    </xf>
    <xf numFmtId="0" fontId="36" fillId="0"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41" fillId="0" borderId="1" xfId="0" applyFont="1" applyFill="1" applyBorder="1" applyAlignment="1">
      <alignment horizontal="center" vertical="center" wrapText="1"/>
    </xf>
    <xf numFmtId="3" fontId="42"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36" fillId="0" borderId="1" xfId="0" applyFont="1" applyFill="1" applyBorder="1" applyAlignment="1">
      <alignment horizontal="center"/>
    </xf>
    <xf numFmtId="0" fontId="37" fillId="0" borderId="1" xfId="0" applyFont="1" applyFill="1" applyBorder="1"/>
    <xf numFmtId="0" fontId="43" fillId="0" borderId="1" xfId="0" applyFont="1" applyFill="1" applyBorder="1" applyAlignment="1">
      <alignment vertical="center" wrapText="1"/>
    </xf>
    <xf numFmtId="0" fontId="43" fillId="0" borderId="1" xfId="0" applyFont="1" applyFill="1" applyBorder="1" applyAlignment="1">
      <alignment horizontal="center" vertical="center" wrapText="1"/>
    </xf>
    <xf numFmtId="3" fontId="5" fillId="0" borderId="1" xfId="0" applyNumberFormat="1" applyFont="1" applyBorder="1"/>
    <xf numFmtId="0" fontId="44" fillId="0" borderId="1"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44" fillId="0" borderId="1" xfId="0" applyFont="1" applyFill="1" applyBorder="1" applyAlignment="1">
      <alignment horizontal="center" vertical="center"/>
    </xf>
    <xf numFmtId="0" fontId="50"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6" fillId="0" borderId="1" xfId="0" applyFont="1" applyBorder="1" applyAlignment="1">
      <alignment horizontal="center"/>
    </xf>
    <xf numFmtId="0" fontId="37" fillId="0" borderId="1" xfId="0" applyFont="1" applyBorder="1"/>
    <xf numFmtId="0" fontId="44" fillId="8" borderId="1" xfId="0" applyFont="1" applyFill="1" applyBorder="1" applyAlignment="1">
      <alignment horizontal="center" vertical="center" wrapText="1"/>
    </xf>
    <xf numFmtId="0" fontId="44" fillId="0" borderId="1" xfId="0" applyFont="1" applyBorder="1" applyAlignment="1">
      <alignment horizontal="center" vertical="center" wrapText="1"/>
    </xf>
    <xf numFmtId="0" fontId="43" fillId="8" borderId="1" xfId="0" applyFont="1" applyFill="1" applyBorder="1" applyAlignment="1">
      <alignment horizontal="center" vertical="center" wrapText="1"/>
    </xf>
    <xf numFmtId="0" fontId="52" fillId="0" borderId="1" xfId="0" applyFont="1" applyFill="1" applyBorder="1" applyAlignment="1">
      <alignment horizontal="center" vertical="center" wrapText="1"/>
    </xf>
    <xf numFmtId="3" fontId="19" fillId="0" borderId="1" xfId="0" applyNumberFormat="1" applyFont="1" applyBorder="1"/>
    <xf numFmtId="3" fontId="53" fillId="0" borderId="1" xfId="0" applyNumberFormat="1" applyFont="1" applyBorder="1"/>
    <xf numFmtId="9" fontId="54" fillId="0" borderId="1" xfId="3" applyFont="1" applyBorder="1" applyAlignment="1">
      <alignment horizontal="center" vertical="center"/>
    </xf>
    <xf numFmtId="0" fontId="14" fillId="20" borderId="1" xfId="0" applyFont="1" applyFill="1" applyBorder="1" applyAlignment="1">
      <alignment horizontal="center" vertical="center" wrapText="1"/>
    </xf>
    <xf numFmtId="0" fontId="36" fillId="20" borderId="1" xfId="0" applyFont="1" applyFill="1" applyBorder="1" applyAlignment="1">
      <alignment horizontal="center" vertical="center" wrapText="1"/>
    </xf>
    <xf numFmtId="0" fontId="37" fillId="20" borderId="1" xfId="0" applyFont="1" applyFill="1" applyBorder="1" applyAlignment="1">
      <alignment horizontal="center" vertical="center" wrapText="1"/>
    </xf>
    <xf numFmtId="0" fontId="9" fillId="20" borderId="1" xfId="0" applyFont="1" applyFill="1" applyBorder="1" applyAlignment="1">
      <alignment horizontal="center" vertical="center" wrapText="1"/>
    </xf>
    <xf numFmtId="0" fontId="38" fillId="20" borderId="1" xfId="0" applyFont="1" applyFill="1" applyBorder="1" applyAlignment="1">
      <alignment horizontal="center" vertical="center" wrapText="1"/>
    </xf>
    <xf numFmtId="0" fontId="41" fillId="20" borderId="1" xfId="0" applyFont="1" applyFill="1" applyBorder="1" applyAlignment="1">
      <alignment horizontal="center" vertical="center" wrapText="1"/>
    </xf>
    <xf numFmtId="0" fontId="41" fillId="20" borderId="1" xfId="0" applyFont="1" applyFill="1" applyBorder="1" applyAlignment="1">
      <alignment vertical="center" wrapText="1"/>
    </xf>
    <xf numFmtId="3" fontId="42" fillId="20" borderId="1" xfId="0" applyNumberFormat="1" applyFont="1" applyFill="1" applyBorder="1" applyAlignment="1">
      <alignment horizontal="center" vertical="center" wrapText="1"/>
    </xf>
    <xf numFmtId="3" fontId="4" fillId="20" borderId="1" xfId="0" applyNumberFormat="1" applyFont="1" applyFill="1" applyBorder="1" applyAlignment="1">
      <alignment horizontal="center" vertical="center" wrapText="1"/>
    </xf>
    <xf numFmtId="0" fontId="45" fillId="20" borderId="1" xfId="0" applyFont="1" applyFill="1" applyBorder="1" applyAlignment="1">
      <alignment horizontal="center" vertical="center" wrapText="1"/>
    </xf>
    <xf numFmtId="0" fontId="4" fillId="20" borderId="1" xfId="0" applyFont="1" applyFill="1" applyBorder="1" applyAlignment="1">
      <alignment horizontal="center" vertical="center" wrapText="1"/>
    </xf>
    <xf numFmtId="0" fontId="44" fillId="20" borderId="1" xfId="0" applyFont="1" applyFill="1" applyBorder="1" applyAlignment="1">
      <alignment horizontal="center" vertical="center" wrapText="1"/>
    </xf>
    <xf numFmtId="0" fontId="5" fillId="20" borderId="0" xfId="0" applyFont="1" applyFill="1"/>
    <xf numFmtId="2" fontId="41" fillId="20" borderId="1" xfId="0" applyNumberFormat="1" applyFont="1" applyFill="1" applyBorder="1" applyAlignment="1">
      <alignment horizontal="center" vertical="center" wrapText="1"/>
    </xf>
    <xf numFmtId="3" fontId="44" fillId="0" borderId="1" xfId="0" applyNumberFormat="1" applyFont="1" applyFill="1" applyBorder="1" applyAlignment="1">
      <alignment horizontal="center" vertical="center" wrapText="1"/>
    </xf>
    <xf numFmtId="4" fontId="5" fillId="0" borderId="1" xfId="0" applyNumberFormat="1" applyFont="1" applyBorder="1"/>
    <xf numFmtId="166" fontId="5" fillId="0" borderId="1" xfId="0" applyNumberFormat="1" applyFont="1" applyBorder="1"/>
    <xf numFmtId="4" fontId="44" fillId="0" borderId="1" xfId="0" applyNumberFormat="1" applyFont="1" applyFill="1" applyBorder="1" applyAlignment="1">
      <alignment horizontal="center" vertical="center" wrapText="1"/>
    </xf>
    <xf numFmtId="167" fontId="5" fillId="0" borderId="1" xfId="0" applyNumberFormat="1" applyFont="1" applyBorder="1"/>
    <xf numFmtId="2" fontId="44" fillId="0" borderId="1" xfId="0" applyNumberFormat="1" applyFont="1" applyFill="1" applyBorder="1" applyAlignment="1">
      <alignment horizontal="center" vertical="center" wrapText="1"/>
    </xf>
    <xf numFmtId="0" fontId="50" fillId="20" borderId="1" xfId="0" applyFont="1" applyFill="1" applyBorder="1" applyAlignment="1">
      <alignment horizontal="center" vertical="center" wrapText="1"/>
    </xf>
    <xf numFmtId="0" fontId="3" fillId="20" borderId="1" xfId="0" applyFont="1" applyFill="1" applyBorder="1" applyAlignment="1">
      <alignment horizontal="center" vertical="center" wrapText="1"/>
    </xf>
    <xf numFmtId="2" fontId="43" fillId="0" borderId="1" xfId="0" applyNumberFormat="1" applyFont="1" applyFill="1" applyBorder="1" applyAlignment="1">
      <alignment horizontal="center" vertical="center" wrapText="1"/>
    </xf>
    <xf numFmtId="1" fontId="44"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1" fontId="6" fillId="0" borderId="1"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5" fillId="0" borderId="0" xfId="0" applyFont="1" applyFill="1"/>
    <xf numFmtId="0" fontId="14" fillId="20" borderId="4" xfId="0" applyFont="1" applyFill="1" applyBorder="1" applyAlignment="1">
      <alignment horizontal="center" vertical="center" wrapText="1"/>
    </xf>
    <xf numFmtId="0" fontId="26" fillId="20" borderId="1" xfId="0" applyFont="1" applyFill="1" applyBorder="1" applyAlignment="1">
      <alignment horizontal="center" vertical="center" wrapText="1"/>
    </xf>
    <xf numFmtId="0" fontId="44" fillId="20" borderId="1" xfId="0" applyFont="1" applyFill="1" applyBorder="1" applyAlignment="1">
      <alignment vertical="center" wrapText="1"/>
    </xf>
    <xf numFmtId="0" fontId="14" fillId="0" borderId="4"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41" fillId="0" borderId="1" xfId="0" applyFont="1" applyFill="1" applyBorder="1" applyAlignment="1">
      <alignment vertical="center" wrapText="1"/>
    </xf>
    <xf numFmtId="0" fontId="44" fillId="0" borderId="1" xfId="0" applyFont="1" applyFill="1" applyBorder="1" applyAlignment="1">
      <alignment vertical="center" wrapText="1"/>
    </xf>
    <xf numFmtId="0" fontId="43" fillId="20" borderId="1" xfId="0" applyFont="1" applyFill="1" applyBorder="1" applyAlignment="1">
      <alignment horizontal="center" vertical="center" wrapText="1"/>
    </xf>
    <xf numFmtId="168" fontId="5" fillId="0" borderId="1" xfId="0" applyNumberFormat="1" applyFont="1" applyBorder="1"/>
    <xf numFmtId="4" fontId="42" fillId="20" borderId="1" xfId="0" applyNumberFormat="1" applyFont="1" applyFill="1" applyBorder="1" applyAlignment="1">
      <alignment horizontal="center" vertical="center" wrapText="1"/>
    </xf>
    <xf numFmtId="169" fontId="44" fillId="0" borderId="1" xfId="0" applyNumberFormat="1" applyFont="1" applyFill="1" applyBorder="1" applyAlignment="1">
      <alignment horizontal="center" vertical="center" wrapText="1"/>
    </xf>
    <xf numFmtId="0" fontId="5" fillId="20" borderId="1" xfId="0" applyFont="1" applyFill="1" applyBorder="1"/>
    <xf numFmtId="3" fontId="41" fillId="20" borderId="1" xfId="0" applyNumberFormat="1" applyFont="1" applyFill="1" applyBorder="1" applyAlignment="1">
      <alignment vertical="center" wrapText="1"/>
    </xf>
    <xf numFmtId="4" fontId="41" fillId="20" borderId="1" xfId="0" applyNumberFormat="1" applyFont="1" applyFill="1" applyBorder="1" applyAlignment="1">
      <alignment vertical="center" wrapText="1"/>
    </xf>
    <xf numFmtId="0" fontId="14" fillId="16" borderId="4" xfId="0" applyFont="1" applyFill="1" applyBorder="1" applyAlignment="1">
      <alignment horizontal="center" vertical="center" wrapText="1"/>
    </xf>
    <xf numFmtId="0" fontId="26" fillId="16" borderId="1" xfId="0" applyFont="1" applyFill="1" applyBorder="1" applyAlignment="1">
      <alignment horizontal="center" vertical="center" wrapText="1"/>
    </xf>
    <xf numFmtId="0" fontId="45" fillId="16" borderId="1" xfId="0" applyFont="1" applyFill="1" applyBorder="1" applyAlignment="1">
      <alignment horizontal="center" vertical="center" wrapText="1"/>
    </xf>
    <xf numFmtId="0" fontId="9" fillId="16" borderId="1"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55" fillId="16" borderId="1" xfId="0" applyFont="1" applyFill="1" applyBorder="1" applyAlignment="1">
      <alignment vertical="center" wrapText="1"/>
    </xf>
    <xf numFmtId="0" fontId="44" fillId="16" borderId="1" xfId="0" applyFont="1" applyFill="1" applyBorder="1" applyAlignment="1">
      <alignment vertical="center" wrapText="1"/>
    </xf>
    <xf numFmtId="3" fontId="42" fillId="16" borderId="1" xfId="0" applyNumberFormat="1" applyFont="1" applyFill="1" applyBorder="1" applyAlignment="1">
      <alignment horizontal="center" vertical="center" wrapText="1"/>
    </xf>
    <xf numFmtId="3" fontId="4" fillId="16" borderId="1" xfId="0" applyNumberFormat="1" applyFont="1" applyFill="1" applyBorder="1" applyAlignment="1">
      <alignment horizontal="center" vertical="center" wrapText="1"/>
    </xf>
    <xf numFmtId="0" fontId="5" fillId="16" borderId="0" xfId="0" applyFont="1" applyFill="1"/>
    <xf numFmtId="4" fontId="41" fillId="2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55" fillId="0" borderId="1" xfId="0" applyFont="1" applyFill="1" applyBorder="1" applyAlignment="1">
      <alignment horizontal="center" vertical="center" wrapText="1"/>
    </xf>
    <xf numFmtId="4" fontId="42" fillId="0" borderId="1" xfId="0" applyNumberFormat="1" applyFont="1" applyFill="1" applyBorder="1" applyAlignment="1">
      <alignment horizontal="center" vertical="center" wrapText="1"/>
    </xf>
    <xf numFmtId="3" fontId="41" fillId="20" borderId="1" xfId="0" applyNumberFormat="1" applyFont="1" applyFill="1" applyBorder="1" applyAlignment="1">
      <alignment horizontal="center" vertical="center" wrapText="1"/>
    </xf>
    <xf numFmtId="0" fontId="52" fillId="20" borderId="1" xfId="0" applyFont="1" applyFill="1" applyBorder="1" applyAlignment="1">
      <alignment horizontal="center" vertical="center" wrapText="1"/>
    </xf>
    <xf numFmtId="0" fontId="56"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57" fillId="0" borderId="1" xfId="0" applyFont="1" applyFill="1" applyBorder="1" applyAlignment="1">
      <alignment horizontal="center" vertical="center" wrapText="1"/>
    </xf>
    <xf numFmtId="3" fontId="52"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30" fillId="0" borderId="0" xfId="0" applyFont="1" applyFill="1"/>
    <xf numFmtId="43" fontId="41" fillId="20" borderId="1" xfId="2" applyFont="1" applyFill="1" applyBorder="1" applyAlignment="1">
      <alignment horizontal="center" vertical="center" wrapText="1"/>
    </xf>
    <xf numFmtId="0" fontId="58" fillId="20" borderId="1" xfId="0" applyFont="1" applyFill="1" applyBorder="1" applyAlignment="1">
      <alignment horizontal="center" vertical="center" wrapText="1"/>
    </xf>
    <xf numFmtId="0" fontId="59" fillId="20" borderId="1" xfId="0" applyFont="1" applyFill="1" applyBorder="1" applyAlignment="1">
      <alignment horizontal="center" vertical="center" wrapText="1"/>
    </xf>
    <xf numFmtId="0" fontId="13" fillId="20" borderId="1" xfId="0" applyFont="1" applyFill="1" applyBorder="1" applyAlignment="1">
      <alignment horizontal="center" vertical="center" wrapText="1"/>
    </xf>
    <xf numFmtId="0" fontId="42" fillId="20" borderId="1" xfId="0" applyFont="1" applyFill="1" applyBorder="1" applyAlignment="1">
      <alignment horizontal="center" vertical="center" wrapText="1"/>
    </xf>
    <xf numFmtId="0" fontId="19" fillId="20" borderId="0" xfId="0" applyFont="1" applyFill="1"/>
    <xf numFmtId="3" fontId="5" fillId="0" borderId="1" xfId="0" applyNumberFormat="1" applyFont="1" applyFill="1" applyBorder="1"/>
    <xf numFmtId="0" fontId="55" fillId="0" borderId="1" xfId="0" applyFont="1" applyFill="1" applyBorder="1" applyAlignment="1">
      <alignment vertical="center" wrapText="1"/>
    </xf>
    <xf numFmtId="0" fontId="4" fillId="20" borderId="1" xfId="0" applyFont="1" applyFill="1" applyBorder="1" applyAlignment="1">
      <alignment vertical="center" wrapText="1"/>
    </xf>
    <xf numFmtId="0" fontId="5" fillId="20" borderId="1" xfId="0" applyFont="1" applyFill="1" applyBorder="1" applyAlignment="1">
      <alignment horizontal="center" vertical="center"/>
    </xf>
    <xf numFmtId="0" fontId="8" fillId="20" borderId="1" xfId="0" applyFont="1" applyFill="1" applyBorder="1" applyAlignment="1">
      <alignment horizontal="center" vertical="center" wrapText="1"/>
    </xf>
    <xf numFmtId="0" fontId="5" fillId="7" borderId="0" xfId="0" applyFont="1" applyFill="1"/>
    <xf numFmtId="0" fontId="14" fillId="7" borderId="1" xfId="0" applyFont="1" applyFill="1" applyBorder="1" applyAlignment="1">
      <alignment horizontal="center" vertical="center" wrapText="1"/>
    </xf>
    <xf numFmtId="0" fontId="44" fillId="7" borderId="1" xfId="0" applyFont="1" applyFill="1" applyBorder="1" applyAlignment="1">
      <alignment horizontal="center" vertical="center" wrapText="1"/>
    </xf>
    <xf numFmtId="0" fontId="36" fillId="7" borderId="1" xfId="0" applyFont="1" applyFill="1" applyBorder="1" applyAlignment="1">
      <alignment horizontal="center"/>
    </xf>
    <xf numFmtId="0" fontId="37" fillId="7" borderId="1" xfId="0" applyFont="1" applyFill="1" applyBorder="1"/>
    <xf numFmtId="0" fontId="5" fillId="7" borderId="1" xfId="0" applyFont="1" applyFill="1" applyBorder="1"/>
    <xf numFmtId="0" fontId="43" fillId="7" borderId="1" xfId="0" applyFont="1" applyFill="1" applyBorder="1" applyAlignment="1">
      <alignment horizontal="center" vertical="center" wrapText="1"/>
    </xf>
    <xf numFmtId="3" fontId="5" fillId="7" borderId="1" xfId="0" applyNumberFormat="1" applyFont="1" applyFill="1" applyBorder="1"/>
    <xf numFmtId="1" fontId="6" fillId="10" borderId="1" xfId="0" applyNumberFormat="1" applyFont="1" applyFill="1" applyBorder="1" applyAlignment="1">
      <alignment horizontal="center" vertical="center" wrapText="1"/>
    </xf>
    <xf numFmtId="0" fontId="7" fillId="10" borderId="1" xfId="0" applyFont="1" applyFill="1" applyBorder="1" applyAlignment="1">
      <alignment vertical="center" wrapText="1"/>
    </xf>
    <xf numFmtId="2" fontId="11" fillId="10" borderId="1" xfId="0" applyNumberFormat="1" applyFont="1" applyFill="1" applyBorder="1" applyAlignment="1">
      <alignment horizontal="center" vertical="center" wrapText="1"/>
    </xf>
    <xf numFmtId="4" fontId="9" fillId="10" borderId="1" xfId="0" applyNumberFormat="1" applyFont="1" applyFill="1" applyBorder="1" applyAlignment="1">
      <alignment horizontal="center" vertical="center" wrapText="1"/>
    </xf>
    <xf numFmtId="0" fontId="6" fillId="10" borderId="1" xfId="0" applyFont="1" applyFill="1" applyBorder="1" applyAlignment="1">
      <alignment horizontal="center" vertical="center" wrapText="1"/>
    </xf>
    <xf numFmtId="0" fontId="10" fillId="10" borderId="1" xfId="0" applyFont="1" applyFill="1" applyBorder="1" applyAlignment="1">
      <alignment horizontal="center" vertical="center"/>
    </xf>
    <xf numFmtId="0" fontId="61" fillId="21" borderId="1" xfId="0" applyFont="1" applyFill="1" applyBorder="1" applyAlignment="1">
      <alignment horizontal="center" vertical="center" wrapText="1"/>
    </xf>
    <xf numFmtId="0" fontId="61" fillId="24" borderId="1" xfId="0" applyFont="1" applyFill="1" applyBorder="1" applyAlignment="1">
      <alignment horizontal="center" vertical="center" wrapText="1"/>
    </xf>
    <xf numFmtId="0" fontId="61" fillId="23" borderId="1" xfId="0" applyFont="1" applyFill="1" applyBorder="1" applyAlignment="1">
      <alignment horizontal="center" vertical="center" wrapText="1"/>
    </xf>
    <xf numFmtId="0" fontId="61" fillId="25" borderId="1" xfId="0" applyFont="1" applyFill="1" applyBorder="1" applyAlignment="1">
      <alignment horizontal="center" vertical="center" wrapText="1"/>
    </xf>
    <xf numFmtId="0" fontId="61" fillId="26" borderId="1" xfId="0" applyFont="1" applyFill="1" applyBorder="1" applyAlignment="1">
      <alignment horizontal="center" vertical="center" wrapText="1"/>
    </xf>
    <xf numFmtId="0" fontId="61" fillId="3" borderId="1" xfId="0" applyFont="1" applyFill="1" applyBorder="1" applyAlignment="1">
      <alignment horizontal="center" vertical="center" wrapText="1"/>
    </xf>
    <xf numFmtId="2" fontId="11" fillId="24" borderId="1" xfId="0" applyNumberFormat="1" applyFont="1" applyFill="1" applyBorder="1" applyAlignment="1">
      <alignment horizontal="center" vertical="center" wrapText="1"/>
    </xf>
    <xf numFmtId="2" fontId="11" fillId="26" borderId="1" xfId="0" applyNumberFormat="1" applyFont="1" applyFill="1" applyBorder="1" applyAlignment="1">
      <alignment horizontal="center" vertical="center" wrapText="1"/>
    </xf>
    <xf numFmtId="2" fontId="11" fillId="25" borderId="1" xfId="0" applyNumberFormat="1" applyFont="1" applyFill="1" applyBorder="1" applyAlignment="1">
      <alignment horizontal="center" vertical="center" wrapText="1"/>
    </xf>
    <xf numFmtId="2" fontId="11" fillId="27" borderId="1" xfId="0" applyNumberFormat="1" applyFont="1" applyFill="1" applyBorder="1" applyAlignment="1">
      <alignment horizontal="center" vertical="center" wrapText="1"/>
    </xf>
    <xf numFmtId="2" fontId="11" fillId="28" borderId="1" xfId="0" applyNumberFormat="1" applyFont="1" applyFill="1" applyBorder="1" applyAlignment="1">
      <alignment horizontal="center" vertical="center" wrapText="1"/>
    </xf>
    <xf numFmtId="2" fontId="12" fillId="24" borderId="1" xfId="0" applyNumberFormat="1" applyFont="1" applyFill="1" applyBorder="1" applyAlignment="1">
      <alignment horizontal="center" vertical="center" wrapText="1"/>
    </xf>
    <xf numFmtId="2" fontId="22" fillId="24" borderId="1" xfId="0" applyNumberFormat="1" applyFont="1" applyFill="1" applyBorder="1" applyAlignment="1">
      <alignment horizontal="center" vertical="center" wrapText="1"/>
    </xf>
    <xf numFmtId="2" fontId="20" fillId="0" borderId="1" xfId="0" applyNumberFormat="1" applyFont="1" applyFill="1" applyBorder="1" applyAlignment="1">
      <alignment horizontal="center" vertical="center" wrapText="1"/>
    </xf>
    <xf numFmtId="2" fontId="12" fillId="23" borderId="1" xfId="0" applyNumberFormat="1" applyFont="1" applyFill="1" applyBorder="1" applyAlignment="1">
      <alignment horizontal="center" vertical="center" wrapText="1"/>
    </xf>
    <xf numFmtId="2" fontId="11" fillId="23" borderId="1" xfId="0" applyNumberFormat="1" applyFont="1" applyFill="1" applyBorder="1" applyAlignment="1">
      <alignment horizontal="center" vertical="center" wrapText="1"/>
    </xf>
    <xf numFmtId="4" fontId="11" fillId="24" borderId="1" xfId="0" applyNumberFormat="1" applyFont="1" applyFill="1" applyBorder="1" applyAlignment="1">
      <alignment horizontal="center" vertical="center" wrapText="1"/>
    </xf>
    <xf numFmtId="4" fontId="11" fillId="25" borderId="1" xfId="0" applyNumberFormat="1" applyFont="1" applyFill="1" applyBorder="1" applyAlignment="1">
      <alignment horizontal="center" vertical="center" wrapText="1"/>
    </xf>
    <xf numFmtId="165" fontId="11" fillId="3" borderId="1" xfId="0" applyNumberFormat="1" applyFont="1" applyFill="1" applyBorder="1" applyAlignment="1">
      <alignment vertical="center" wrapText="1"/>
    </xf>
    <xf numFmtId="165" fontId="11" fillId="24" borderId="1" xfId="0" applyNumberFormat="1" applyFont="1" applyFill="1" applyBorder="1" applyAlignment="1">
      <alignment vertical="center" wrapText="1"/>
    </xf>
    <xf numFmtId="165" fontId="11" fillId="26" borderId="1" xfId="0" applyNumberFormat="1" applyFont="1" applyFill="1" applyBorder="1" applyAlignment="1">
      <alignment vertical="center" wrapText="1"/>
    </xf>
    <xf numFmtId="4" fontId="5" fillId="0" borderId="0" xfId="0" applyNumberFormat="1" applyFont="1"/>
    <xf numFmtId="43" fontId="0" fillId="0" borderId="0" xfId="2" applyFont="1"/>
    <xf numFmtId="0" fontId="0" fillId="0" borderId="0" xfId="0" applyAlignment="1">
      <alignment horizontal="left" indent="1"/>
    </xf>
    <xf numFmtId="0" fontId="60" fillId="22" borderId="10" xfId="0" applyNumberFormat="1" applyFont="1" applyFill="1" applyBorder="1" applyAlignment="1">
      <alignment vertical="center" wrapText="1"/>
    </xf>
    <xf numFmtId="0" fontId="60" fillId="22" borderId="10" xfId="0" applyNumberFormat="1" applyFont="1" applyFill="1" applyBorder="1" applyAlignment="1">
      <alignment vertical="center"/>
    </xf>
    <xf numFmtId="0" fontId="13" fillId="14" borderId="6"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24" borderId="1" xfId="0" applyFont="1" applyFill="1" applyBorder="1" applyAlignment="1">
      <alignment horizontal="center" vertical="center" wrapText="1"/>
    </xf>
    <xf numFmtId="4" fontId="24" fillId="0" borderId="5" xfId="0" applyNumberFormat="1" applyFont="1" applyBorder="1" applyAlignment="1">
      <alignment horizontal="center" vertical="center"/>
    </xf>
    <xf numFmtId="0" fontId="5" fillId="0" borderId="0" xfId="0" applyFont="1" applyBorder="1"/>
    <xf numFmtId="1" fontId="5" fillId="0" borderId="0" xfId="0" applyNumberFormat="1" applyFont="1" applyBorder="1"/>
    <xf numFmtId="4" fontId="5" fillId="0" borderId="0" xfId="0" applyNumberFormat="1" applyFont="1" applyBorder="1"/>
    <xf numFmtId="0" fontId="5" fillId="0" borderId="11" xfId="0" applyFont="1" applyBorder="1"/>
    <xf numFmtId="4" fontId="13" fillId="8" borderId="11" xfId="0" applyNumberFormat="1" applyFont="1" applyFill="1" applyBorder="1" applyAlignment="1">
      <alignment horizontal="center" vertical="center" wrapText="1"/>
    </xf>
    <xf numFmtId="0" fontId="14" fillId="29" borderId="5" xfId="0" applyFont="1" applyFill="1" applyBorder="1" applyAlignment="1">
      <alignment horizontal="center" vertical="center" wrapText="1"/>
    </xf>
    <xf numFmtId="0" fontId="7" fillId="29" borderId="1" xfId="0" applyFont="1" applyFill="1" applyBorder="1" applyAlignment="1">
      <alignment vertical="center" wrapText="1"/>
    </xf>
    <xf numFmtId="2" fontId="13" fillId="29" borderId="1" xfId="0" applyNumberFormat="1" applyFont="1" applyFill="1" applyBorder="1" applyAlignment="1">
      <alignment horizontal="center" vertical="center" wrapText="1"/>
    </xf>
    <xf numFmtId="0" fontId="13" fillId="14"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7" fillId="5" borderId="1" xfId="0" applyFont="1" applyFill="1" applyBorder="1" applyAlignment="1">
      <alignment horizontal="center" vertical="center" textRotation="90" wrapText="1"/>
    </xf>
    <xf numFmtId="0" fontId="13" fillId="5" borderId="1" xfId="0" applyFont="1" applyFill="1" applyBorder="1" applyAlignment="1">
      <alignment vertical="center" wrapText="1"/>
    </xf>
    <xf numFmtId="0" fontId="13" fillId="29" borderId="1" xfId="0" applyFont="1" applyFill="1" applyBorder="1" applyAlignment="1">
      <alignment vertical="center" wrapText="1"/>
    </xf>
    <xf numFmtId="0" fontId="13" fillId="2" borderId="1" xfId="0" applyFont="1" applyFill="1" applyBorder="1" applyAlignment="1">
      <alignment vertical="center" wrapText="1"/>
    </xf>
    <xf numFmtId="0" fontId="7" fillId="10" borderId="1" xfId="0"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0" fillId="0" borderId="0" xfId="0" applyAlignment="1">
      <alignment wrapText="1"/>
    </xf>
    <xf numFmtId="0" fontId="64" fillId="0" borderId="0" xfId="0" applyFont="1" applyFill="1"/>
    <xf numFmtId="43" fontId="62" fillId="0" borderId="12" xfId="2" applyFont="1" applyFill="1" applyBorder="1" applyAlignment="1">
      <alignment horizontal="center" vertical="top" wrapText="1"/>
    </xf>
    <xf numFmtId="0" fontId="62" fillId="5" borderId="13" xfId="0" applyFont="1" applyFill="1" applyBorder="1" applyAlignment="1">
      <alignment vertical="top" wrapText="1"/>
    </xf>
    <xf numFmtId="0" fontId="62" fillId="5" borderId="14" xfId="0" applyFont="1" applyFill="1" applyBorder="1" applyAlignment="1">
      <alignment vertical="top" wrapText="1"/>
    </xf>
    <xf numFmtId="0" fontId="62" fillId="5" borderId="15" xfId="0" applyFont="1" applyFill="1" applyBorder="1" applyAlignment="1">
      <alignment horizontal="center" vertical="top" wrapText="1"/>
    </xf>
    <xf numFmtId="0" fontId="62" fillId="5" borderId="16" xfId="0" applyFont="1" applyFill="1" applyBorder="1" applyAlignment="1">
      <alignment vertical="top" wrapText="1"/>
    </xf>
    <xf numFmtId="0" fontId="0" fillId="0" borderId="17" xfId="0" applyBorder="1"/>
    <xf numFmtId="4" fontId="27" fillId="0" borderId="18" xfId="2" applyNumberFormat="1" applyFont="1" applyFill="1" applyBorder="1"/>
    <xf numFmtId="4" fontId="0" fillId="0" borderId="19" xfId="0" applyNumberFormat="1" applyBorder="1"/>
    <xf numFmtId="0" fontId="0" fillId="0" borderId="20" xfId="0" applyBorder="1"/>
    <xf numFmtId="0" fontId="0" fillId="0" borderId="21" xfId="0" applyBorder="1"/>
    <xf numFmtId="4" fontId="27" fillId="0" borderId="22" xfId="2" applyNumberFormat="1" applyFont="1" applyFill="1" applyBorder="1"/>
    <xf numFmtId="4" fontId="0" fillId="0" borderId="23" xfId="0" applyNumberFormat="1" applyBorder="1"/>
    <xf numFmtId="0" fontId="0" fillId="0" borderId="24" xfId="0" applyBorder="1"/>
    <xf numFmtId="2" fontId="65" fillId="0" borderId="1" xfId="0" applyNumberFormat="1" applyFont="1" applyFill="1" applyBorder="1" applyAlignment="1">
      <alignment horizontal="left" vertical="center" wrapText="1"/>
    </xf>
    <xf numFmtId="4" fontId="0" fillId="0" borderId="22" xfId="0" applyNumberFormat="1" applyBorder="1"/>
    <xf numFmtId="4" fontId="0" fillId="0" borderId="22" xfId="0" applyNumberFormat="1" applyFill="1" applyBorder="1"/>
    <xf numFmtId="0" fontId="65" fillId="0" borderId="21" xfId="0" applyFont="1" applyBorder="1"/>
    <xf numFmtId="4" fontId="27" fillId="3" borderId="22" xfId="2" applyNumberFormat="1" applyFont="1" applyFill="1" applyBorder="1"/>
    <xf numFmtId="4" fontId="0" fillId="0" borderId="25" xfId="0" applyNumberFormat="1" applyBorder="1"/>
    <xf numFmtId="0" fontId="65" fillId="0" borderId="26" xfId="0" applyFont="1" applyBorder="1"/>
    <xf numFmtId="4" fontId="27" fillId="0" borderId="27" xfId="2" applyNumberFormat="1" applyFont="1" applyFill="1" applyBorder="1"/>
    <xf numFmtId="0" fontId="65" fillId="0" borderId="28" xfId="0" applyFont="1" applyBorder="1"/>
    <xf numFmtId="0" fontId="62" fillId="5" borderId="29" xfId="0" applyFont="1" applyFill="1" applyBorder="1" applyAlignment="1">
      <alignment vertical="top" wrapText="1"/>
    </xf>
    <xf numFmtId="0" fontId="62" fillId="5" borderId="12" xfId="0" applyFont="1" applyFill="1" applyBorder="1" applyAlignment="1">
      <alignment vertical="top" wrapText="1"/>
    </xf>
    <xf numFmtId="0" fontId="0" fillId="30" borderId="12" xfId="0" applyFill="1" applyBorder="1"/>
    <xf numFmtId="0" fontId="62" fillId="5" borderId="30" xfId="0" applyFont="1" applyFill="1" applyBorder="1" applyAlignment="1">
      <alignment vertical="top" wrapText="1"/>
    </xf>
    <xf numFmtId="0" fontId="5" fillId="0" borderId="0" xfId="0" applyFont="1" applyAlignment="1">
      <alignment wrapText="1"/>
    </xf>
    <xf numFmtId="170" fontId="5" fillId="0" borderId="0" xfId="2" applyNumberFormat="1" applyFont="1"/>
    <xf numFmtId="164" fontId="5" fillId="0" borderId="0" xfId="0" applyNumberFormat="1" applyFont="1"/>
    <xf numFmtId="0" fontId="4" fillId="3" borderId="1" xfId="0" applyFont="1" applyFill="1" applyBorder="1" applyAlignment="1">
      <alignment horizontal="center" vertical="center" wrapText="1"/>
    </xf>
    <xf numFmtId="0" fontId="44" fillId="3" borderId="1" xfId="0" applyFont="1" applyFill="1" applyBorder="1" applyAlignment="1">
      <alignment horizontal="center" vertical="center" wrapText="1"/>
    </xf>
    <xf numFmtId="0" fontId="43" fillId="3" borderId="1" xfId="0" applyFont="1" applyFill="1" applyBorder="1" applyAlignment="1">
      <alignment horizontal="center" vertical="center" wrapText="1"/>
    </xf>
    <xf numFmtId="3" fontId="5" fillId="3" borderId="1" xfId="0" applyNumberFormat="1" applyFont="1" applyFill="1" applyBorder="1"/>
    <xf numFmtId="0" fontId="5" fillId="3" borderId="0" xfId="0" applyFont="1" applyFill="1"/>
    <xf numFmtId="0" fontId="38" fillId="3" borderId="1" xfId="0" applyFont="1" applyFill="1" applyBorder="1" applyAlignment="1">
      <alignment horizontal="center" vertical="center" wrapText="1"/>
    </xf>
    <xf numFmtId="0" fontId="69" fillId="0" borderId="1" xfId="0" applyFont="1" applyFill="1" applyBorder="1" applyAlignment="1">
      <alignment horizontal="center" vertical="center" wrapText="1"/>
    </xf>
    <xf numFmtId="0" fontId="69" fillId="3" borderId="1" xfId="0" applyFont="1" applyFill="1" applyBorder="1" applyAlignment="1">
      <alignment horizontal="center" vertical="center" wrapText="1"/>
    </xf>
    <xf numFmtId="0" fontId="67" fillId="3" borderId="0" xfId="0" applyFont="1" applyFill="1"/>
    <xf numFmtId="0" fontId="8" fillId="3" borderId="1" xfId="0" applyFont="1" applyFill="1" applyBorder="1" applyAlignment="1">
      <alignment horizontal="center" vertical="center" wrapText="1"/>
    </xf>
    <xf numFmtId="43" fontId="5" fillId="0" borderId="0" xfId="2" applyFont="1"/>
    <xf numFmtId="9" fontId="5" fillId="0" borderId="0" xfId="3" applyFont="1"/>
    <xf numFmtId="49" fontId="70" fillId="0" borderId="1" xfId="0" applyNumberFormat="1" applyFont="1" applyFill="1" applyBorder="1" applyAlignment="1">
      <alignment horizontal="left" vertical="center" wrapText="1"/>
    </xf>
    <xf numFmtId="49" fontId="70" fillId="0" borderId="31" xfId="0" applyNumberFormat="1" applyFont="1" applyFill="1" applyBorder="1" applyAlignment="1">
      <alignment horizontal="left" vertical="center" wrapText="1"/>
    </xf>
    <xf numFmtId="0" fontId="71" fillId="0" borderId="1" xfId="0" applyFont="1" applyFill="1" applyBorder="1" applyAlignment="1" applyProtection="1">
      <alignment horizontal="left" vertical="top" wrapText="1"/>
      <protection locked="0"/>
    </xf>
    <xf numFmtId="0" fontId="44" fillId="0" borderId="1" xfId="0" applyFont="1" applyFill="1" applyBorder="1" applyAlignment="1">
      <alignment horizontal="left" vertical="center" wrapText="1"/>
    </xf>
    <xf numFmtId="0" fontId="70" fillId="0" borderId="1" xfId="0" applyNumberFormat="1" applyFont="1" applyFill="1" applyBorder="1" applyAlignment="1">
      <alignment horizontal="left" vertical="center" wrapText="1"/>
    </xf>
    <xf numFmtId="0" fontId="72" fillId="16" borderId="32" xfId="0" applyNumberFormat="1" applyFont="1" applyFill="1" applyBorder="1" applyAlignment="1">
      <alignment vertical="center" wrapText="1"/>
    </xf>
    <xf numFmtId="0" fontId="70" fillId="31" borderId="1" xfId="0" applyNumberFormat="1" applyFont="1" applyFill="1" applyBorder="1" applyAlignment="1">
      <alignment vertical="center" wrapText="1"/>
    </xf>
    <xf numFmtId="164" fontId="70" fillId="31" borderId="1" xfId="2" applyNumberFormat="1" applyFont="1" applyFill="1" applyBorder="1" applyAlignment="1">
      <alignment vertical="center" wrapText="1"/>
    </xf>
    <xf numFmtId="164" fontId="70" fillId="31" borderId="33" xfId="2" applyNumberFormat="1" applyFont="1" applyFill="1" applyBorder="1" applyAlignment="1">
      <alignment vertical="center" wrapText="1"/>
    </xf>
    <xf numFmtId="171" fontId="72" fillId="31" borderId="34" xfId="2" applyNumberFormat="1" applyFont="1" applyFill="1" applyBorder="1" applyAlignment="1">
      <alignment vertical="center" wrapText="1"/>
    </xf>
    <xf numFmtId="0" fontId="72" fillId="16" borderId="1" xfId="0" applyNumberFormat="1" applyFont="1" applyFill="1" applyBorder="1" applyAlignment="1">
      <alignment vertical="center" wrapText="1"/>
    </xf>
    <xf numFmtId="0" fontId="14" fillId="0" borderId="0" xfId="0" applyFont="1" applyBorder="1" applyAlignment="1">
      <alignment horizontal="center" vertical="center" wrapText="1"/>
    </xf>
    <xf numFmtId="0" fontId="36" fillId="0" borderId="0" xfId="0" applyFont="1" applyBorder="1" applyAlignment="1">
      <alignment horizontal="center"/>
    </xf>
    <xf numFmtId="0" fontId="70" fillId="16" borderId="1" xfId="0" applyNumberFormat="1" applyFont="1" applyFill="1" applyBorder="1" applyAlignment="1">
      <alignment vertical="center" wrapText="1"/>
    </xf>
    <xf numFmtId="164" fontId="70" fillId="0" borderId="1" xfId="2" applyNumberFormat="1" applyFont="1" applyFill="1" applyBorder="1" applyAlignment="1">
      <alignment vertical="center" wrapText="1"/>
    </xf>
    <xf numFmtId="0" fontId="72" fillId="16" borderId="33" xfId="0" applyNumberFormat="1" applyFont="1" applyFill="1" applyBorder="1" applyAlignment="1">
      <alignment horizontal="right" vertical="center" wrapText="1"/>
    </xf>
    <xf numFmtId="0" fontId="72" fillId="16" borderId="33" xfId="0" applyNumberFormat="1" applyFont="1" applyFill="1" applyBorder="1" applyAlignment="1">
      <alignment horizontal="center" vertical="center" wrapText="1"/>
    </xf>
    <xf numFmtId="164" fontId="70" fillId="0" borderId="33" xfId="2" applyNumberFormat="1" applyFont="1" applyFill="1" applyBorder="1" applyAlignment="1">
      <alignment vertical="center" wrapText="1"/>
    </xf>
    <xf numFmtId="171" fontId="72" fillId="16" borderId="34" xfId="2" applyNumberFormat="1" applyFont="1" applyFill="1" applyBorder="1" applyAlignment="1">
      <alignment vertical="center" wrapText="1"/>
    </xf>
    <xf numFmtId="43" fontId="43" fillId="20" borderId="1" xfId="0" applyNumberFormat="1" applyFont="1" applyFill="1" applyBorder="1" applyAlignment="1">
      <alignment horizontal="center" vertical="center" wrapText="1"/>
    </xf>
    <xf numFmtId="171" fontId="43" fillId="20" borderId="1" xfId="0" applyNumberFormat="1" applyFont="1" applyFill="1" applyBorder="1" applyAlignment="1">
      <alignment horizontal="center" vertical="center" wrapText="1"/>
    </xf>
    <xf numFmtId="164" fontId="43" fillId="20" borderId="1" xfId="0" applyNumberFormat="1" applyFont="1" applyFill="1" applyBorder="1" applyAlignment="1">
      <alignment horizontal="center" vertical="center" wrapText="1"/>
    </xf>
    <xf numFmtId="0" fontId="72" fillId="31" borderId="33" xfId="0" applyNumberFormat="1" applyFont="1" applyFill="1" applyBorder="1" applyAlignment="1">
      <alignment horizontal="right" vertical="center" wrapText="1"/>
    </xf>
    <xf numFmtId="0" fontId="72" fillId="31" borderId="33" xfId="0" applyNumberFormat="1" applyFont="1" applyFill="1" applyBorder="1" applyAlignment="1">
      <alignment horizontal="center" vertical="center" wrapText="1"/>
    </xf>
    <xf numFmtId="0" fontId="0" fillId="31" borderId="0" xfId="0" applyFill="1"/>
    <xf numFmtId="0" fontId="70" fillId="31" borderId="1" xfId="0" applyNumberFormat="1" applyFont="1" applyFill="1" applyBorder="1" applyAlignment="1">
      <alignment horizontal="center" vertical="center" wrapText="1"/>
    </xf>
    <xf numFmtId="0" fontId="72" fillId="31" borderId="1" xfId="0" applyNumberFormat="1" applyFont="1" applyFill="1" applyBorder="1" applyAlignment="1">
      <alignment horizontal="right" vertical="center" wrapText="1"/>
    </xf>
    <xf numFmtId="0" fontId="72" fillId="31" borderId="1" xfId="0" applyNumberFormat="1" applyFont="1" applyFill="1" applyBorder="1" applyAlignment="1">
      <alignment horizontal="center" vertical="center" wrapText="1"/>
    </xf>
    <xf numFmtId="171" fontId="72" fillId="31" borderId="1" xfId="2" applyNumberFormat="1" applyFont="1" applyFill="1" applyBorder="1" applyAlignment="1">
      <alignment horizontal="center" vertical="center" wrapText="1"/>
    </xf>
    <xf numFmtId="3" fontId="5" fillId="0" borderId="3" xfId="0" applyNumberFormat="1" applyFont="1" applyBorder="1"/>
    <xf numFmtId="0" fontId="5" fillId="20" borderId="3" xfId="0" applyFont="1" applyFill="1" applyBorder="1"/>
    <xf numFmtId="0" fontId="72" fillId="31" borderId="1" xfId="0" applyNumberFormat="1" applyFont="1" applyFill="1" applyBorder="1" applyAlignment="1">
      <alignment horizontal="left" vertical="center" wrapText="1"/>
    </xf>
    <xf numFmtId="171" fontId="72" fillId="31" borderId="1" xfId="2" applyNumberFormat="1" applyFont="1" applyFill="1" applyBorder="1" applyAlignment="1">
      <alignment vertical="center" wrapText="1"/>
    </xf>
    <xf numFmtId="2" fontId="70" fillId="31" borderId="1" xfId="2" applyNumberFormat="1" applyFont="1" applyFill="1" applyBorder="1" applyAlignment="1">
      <alignment vertical="center" wrapText="1"/>
    </xf>
    <xf numFmtId="0" fontId="72" fillId="31" borderId="1" xfId="0" applyNumberFormat="1" applyFont="1" applyFill="1" applyBorder="1" applyAlignment="1">
      <alignment vertical="center" wrapText="1"/>
    </xf>
    <xf numFmtId="164" fontId="70" fillId="31" borderId="1" xfId="2" applyNumberFormat="1" applyFont="1" applyFill="1" applyBorder="1" applyAlignment="1">
      <alignment horizontal="right" vertical="center" wrapText="1"/>
    </xf>
    <xf numFmtId="4" fontId="0" fillId="31" borderId="23" xfId="0" applyNumberFormat="1" applyFill="1" applyBorder="1"/>
    <xf numFmtId="10" fontId="0" fillId="0" borderId="0" xfId="0" applyNumberFormat="1"/>
    <xf numFmtId="4" fontId="0" fillId="0" borderId="0" xfId="0" applyNumberFormat="1"/>
    <xf numFmtId="10" fontId="0" fillId="0" borderId="0" xfId="0" applyNumberFormat="1" applyAlignment="1">
      <alignment horizontal="left"/>
    </xf>
    <xf numFmtId="10" fontId="0" fillId="0" borderId="0" xfId="0" applyNumberFormat="1" applyAlignment="1">
      <alignment horizontal="left" vertical="center"/>
    </xf>
    <xf numFmtId="43" fontId="0" fillId="0" borderId="0" xfId="2" applyFont="1" applyAlignment="1">
      <alignment horizontal="left"/>
    </xf>
    <xf numFmtId="10" fontId="0" fillId="0" borderId="0" xfId="2" applyNumberFormat="1" applyFont="1" applyAlignment="1">
      <alignment horizontal="left"/>
    </xf>
    <xf numFmtId="0" fontId="7" fillId="0" borderId="2"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38" fillId="0" borderId="1" xfId="0" applyNumberFormat="1" applyFont="1" applyFill="1" applyBorder="1" applyAlignment="1">
      <alignment horizontal="center" vertical="center" wrapText="1"/>
    </xf>
    <xf numFmtId="0" fontId="42"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wrapText="1"/>
    </xf>
    <xf numFmtId="0" fontId="5" fillId="31" borderId="1" xfId="0" applyFont="1" applyFill="1" applyBorder="1"/>
    <xf numFmtId="171" fontId="73" fillId="32" borderId="35" xfId="2" applyNumberFormat="1" applyFont="1" applyFill="1" applyBorder="1" applyAlignment="1">
      <alignment vertical="center" wrapText="1"/>
    </xf>
    <xf numFmtId="0" fontId="73" fillId="0" borderId="8" xfId="0" applyNumberFormat="1" applyFont="1" applyFill="1" applyBorder="1" applyAlignment="1">
      <alignment horizontal="left" vertical="center" wrapText="1"/>
    </xf>
    <xf numFmtId="171" fontId="73" fillId="0" borderId="34" xfId="2" applyNumberFormat="1" applyFont="1" applyFill="1" applyBorder="1" applyAlignment="1">
      <alignment vertical="center" wrapText="1"/>
    </xf>
    <xf numFmtId="0" fontId="70" fillId="16" borderId="33" xfId="0" applyNumberFormat="1" applyFont="1" applyFill="1" applyBorder="1" applyAlignment="1">
      <alignment horizontal="center" vertical="center" wrapText="1"/>
    </xf>
    <xf numFmtId="0" fontId="73" fillId="0" borderId="36" xfId="0" applyNumberFormat="1" applyFont="1" applyFill="1" applyBorder="1" applyAlignment="1">
      <alignment horizontal="center" vertical="center" wrapText="1"/>
    </xf>
    <xf numFmtId="0" fontId="72" fillId="16" borderId="36" xfId="0" applyNumberFormat="1" applyFont="1" applyFill="1" applyBorder="1" applyAlignment="1">
      <alignment vertical="center" wrapText="1"/>
    </xf>
    <xf numFmtId="0" fontId="70" fillId="16" borderId="1" xfId="0" applyNumberFormat="1" applyFont="1" applyFill="1" applyBorder="1" applyAlignment="1">
      <alignment horizontal="left" vertical="center" wrapText="1"/>
    </xf>
    <xf numFmtId="0" fontId="45" fillId="20" borderId="33" xfId="0" applyFont="1" applyFill="1" applyBorder="1" applyAlignment="1">
      <alignment horizontal="center" vertical="center" wrapText="1"/>
    </xf>
    <xf numFmtId="0" fontId="4" fillId="20" borderId="33" xfId="0" applyFont="1" applyFill="1" applyBorder="1" applyAlignment="1">
      <alignment horizontal="center" vertical="center" wrapText="1"/>
    </xf>
    <xf numFmtId="0" fontId="5" fillId="20" borderId="33" xfId="0" applyFont="1" applyFill="1" applyBorder="1" applyAlignment="1">
      <alignment horizontal="center" vertical="center"/>
    </xf>
    <xf numFmtId="0" fontId="8" fillId="20" borderId="33" xfId="0" applyFont="1" applyFill="1" applyBorder="1" applyAlignment="1">
      <alignment horizontal="center" vertical="center" wrapText="1"/>
    </xf>
    <xf numFmtId="0" fontId="7" fillId="29" borderId="5" xfId="0" applyFont="1" applyFill="1" applyBorder="1" applyAlignment="1">
      <alignment vertical="center" wrapText="1"/>
    </xf>
    <xf numFmtId="0" fontId="13" fillId="29" borderId="5" xfId="0" applyFont="1" applyFill="1" applyBorder="1" applyAlignment="1">
      <alignment vertical="center" wrapText="1"/>
    </xf>
    <xf numFmtId="2" fontId="13" fillId="29" borderId="5" xfId="0" applyNumberFormat="1" applyFont="1" applyFill="1" applyBorder="1" applyAlignment="1">
      <alignment horizontal="center" vertical="center" wrapText="1"/>
    </xf>
    <xf numFmtId="0" fontId="74" fillId="33" borderId="1" xfId="0" applyFont="1" applyFill="1" applyBorder="1" applyAlignment="1">
      <alignment horizontal="center"/>
    </xf>
    <xf numFmtId="0" fontId="74" fillId="34" borderId="1" xfId="0" applyFont="1" applyFill="1" applyBorder="1"/>
    <xf numFmtId="0" fontId="75" fillId="0" borderId="1" xfId="0" applyFont="1" applyBorder="1" applyAlignment="1">
      <alignment horizontal="left" indent="1"/>
    </xf>
    <xf numFmtId="0" fontId="74" fillId="33" borderId="1" xfId="0" applyFont="1" applyFill="1" applyBorder="1"/>
    <xf numFmtId="4" fontId="74" fillId="34" borderId="1" xfId="0" applyNumberFormat="1" applyFont="1" applyFill="1" applyBorder="1" applyAlignment="1">
      <alignment horizontal="right"/>
    </xf>
    <xf numFmtId="4" fontId="75" fillId="0" borderId="1" xfId="0" applyNumberFormat="1" applyFont="1" applyBorder="1" applyAlignment="1">
      <alignment horizontal="right"/>
    </xf>
    <xf numFmtId="4" fontId="74" fillId="33" borderId="1" xfId="0" applyNumberFormat="1" applyFont="1" applyFill="1" applyBorder="1" applyAlignment="1">
      <alignment horizontal="right"/>
    </xf>
    <xf numFmtId="0" fontId="60" fillId="21" borderId="8" xfId="0" applyNumberFormat="1" applyFont="1" applyFill="1" applyBorder="1" applyAlignment="1">
      <alignment horizontal="center" vertical="center"/>
    </xf>
    <xf numFmtId="0" fontId="67" fillId="3" borderId="10" xfId="0" applyFont="1" applyFill="1" applyBorder="1" applyAlignment="1">
      <alignment horizontal="center" wrapText="1"/>
    </xf>
    <xf numFmtId="0" fontId="67" fillId="3" borderId="0" xfId="0" applyFont="1" applyFill="1" applyAlignment="1">
      <alignment horizontal="center" wrapText="1"/>
    </xf>
    <xf numFmtId="0" fontId="28" fillId="17" borderId="7" xfId="0" applyFont="1" applyFill="1" applyBorder="1" applyAlignment="1">
      <alignment horizontal="center" vertical="center"/>
    </xf>
    <xf numFmtId="0" fontId="28" fillId="17" borderId="8" xfId="0" applyFont="1" applyFill="1" applyBorder="1" applyAlignment="1">
      <alignment horizontal="center" vertical="center"/>
    </xf>
    <xf numFmtId="0" fontId="28" fillId="17" borderId="9" xfId="0" applyFont="1" applyFill="1" applyBorder="1" applyAlignment="1">
      <alignment horizontal="center" vertical="center"/>
    </xf>
    <xf numFmtId="0" fontId="29" fillId="17" borderId="7" xfId="0" applyFont="1" applyFill="1" applyBorder="1" applyAlignment="1">
      <alignment horizontal="center" vertical="center"/>
    </xf>
    <xf numFmtId="0" fontId="29" fillId="17" borderId="8" xfId="0" applyFont="1" applyFill="1" applyBorder="1" applyAlignment="1">
      <alignment horizontal="center" vertical="center"/>
    </xf>
    <xf numFmtId="0" fontId="29" fillId="17" borderId="9" xfId="0" applyFont="1" applyFill="1" applyBorder="1" applyAlignment="1">
      <alignment horizontal="center" vertical="center"/>
    </xf>
    <xf numFmtId="0" fontId="29" fillId="17" borderId="2" xfId="0" applyFont="1" applyFill="1" applyBorder="1" applyAlignment="1">
      <alignment horizontal="center" vertical="center" wrapText="1"/>
    </xf>
    <xf numFmtId="0" fontId="29" fillId="17" borderId="3" xfId="0" applyFont="1" applyFill="1" applyBorder="1" applyAlignment="1">
      <alignment horizontal="center" vertical="center" wrapText="1"/>
    </xf>
    <xf numFmtId="0" fontId="68" fillId="0" borderId="10" xfId="0" applyFont="1" applyBorder="1" applyAlignment="1">
      <alignment horizontal="center" vertical="center" wrapText="1"/>
    </xf>
    <xf numFmtId="0" fontId="63" fillId="0" borderId="0" xfId="0" applyFont="1" applyAlignment="1">
      <alignment horizontal="center"/>
    </xf>
    <xf numFmtId="0" fontId="62" fillId="0" borderId="0" xfId="0" applyFont="1"/>
    <xf numFmtId="4" fontId="74" fillId="34" borderId="37" xfId="0" applyNumberFormat="1" applyFont="1" applyFill="1" applyBorder="1" applyAlignment="1">
      <alignment horizontal="right"/>
    </xf>
    <xf numFmtId="4" fontId="74" fillId="33" borderId="37" xfId="0" applyNumberFormat="1" applyFont="1" applyFill="1" applyBorder="1" applyAlignment="1">
      <alignment horizontal="right"/>
    </xf>
  </cellXfs>
  <cellStyles count="4">
    <cellStyle name="Normal" xfId="0" builtinId="0"/>
    <cellStyle name="Normal 2" xfId="1"/>
    <cellStyle name="Percentagem" xfId="3" builtinId="5"/>
    <cellStyle name="Vírgula" xfId="2" builtinId="3"/>
  </cellStyles>
  <dxfs count="20">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4" formatCode="#,##0.00"/>
    </dxf>
    <dxf>
      <numFmt numFmtId="4" formatCode="#,##0.00"/>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1" defaultTableStyle="TableStyleMedium9" defaultPivotStyle="PivotStyleLight16">
    <tableStyle name="PivotStyleLight16 2" table="0" count="11">
      <tableStyleElement type="headerRow" dxfId="19"/>
      <tableStyleElement type="totalRow" dxfId="18"/>
      <tableStyleElement type="firstRowStripe" dxfId="17"/>
      <tableStyleElement type="firstColumnStripe" dxfId="16"/>
      <tableStyleElement type="firstSubtotalColumn" dxfId="15"/>
      <tableStyleElement type="firstSubtotalRow" dxfId="14"/>
      <tableStyleElement type="secondSubtotalRow" dxfId="13"/>
      <tableStyleElement type="firstRowSubheading" dxfId="12"/>
      <tableStyleElement type="secondRowSubheading" dxfId="11"/>
      <tableStyleElement type="pageFieldLabels" dxfId="10"/>
      <tableStyleElement type="pageFieldValues" dxfId="9"/>
    </tableStyle>
  </tableStyles>
  <colors>
    <mruColors>
      <color rgb="FF66FFFF"/>
      <color rgb="FFCCFF99"/>
      <color rgb="FFFFB9FF"/>
      <color rgb="FFFF99FF"/>
      <color rgb="FFFFFF4B"/>
      <color rgb="FFCC0099"/>
      <color rgb="FF000099"/>
      <color rgb="FF006600"/>
      <color rgb="FF003300"/>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6.xml"/><Relationship Id="rId3" Type="http://schemas.openxmlformats.org/officeDocument/2006/relationships/worksheet" Target="worksheets/sheet3.xml"/><Relationship Id="rId21" Type="http://schemas.openxmlformats.org/officeDocument/2006/relationships/pivotCacheDefinition" Target="pivotCache/pivotCacheDefinition1.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2.xml"/><Relationship Id="rId27" Type="http://schemas.openxmlformats.org/officeDocument/2006/relationships/theme" Target="theme/theme1.xml"/><Relationship Id="rId30" Type="http://schemas.openxmlformats.org/officeDocument/2006/relationships/calcChain" Target="calcChain.xml"/><Relationship Id="rId35" Type="http://schemas.openxmlformats.org/officeDocument/2006/relationships/customXml" Target="../customXml/item5.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y%20documents\GRANTS\SIDA\10.&#170;%20RONDA%20HIV\FASE2\APPROVED%20VERSION\STP-011-G05-H_Budget_Phase%202_Final-BOM.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efinitions"/>
      <sheetName val="General instructions"/>
      <sheetName val="Title sheet"/>
      <sheetName val="General assumptions"/>
      <sheetName val="Detailed assumptions"/>
      <sheetName val="Unit price list"/>
      <sheetName val="Detailed assumptions-anylton"/>
      <sheetName val="Detailed Budget - Year 3"/>
      <sheetName val="Detailed Budget - Year 4"/>
      <sheetName val="Detailed Budget-Year 5"/>
      <sheetName val="5 Year Budget"/>
      <sheetName val="Summary"/>
      <sheetName val="Summary budget"/>
      <sheetName val="Annexe 1a"/>
      <sheetName val="Annexe 1b "/>
      <sheetName val="Overal summary"/>
    </sheetNames>
    <sheetDataSet>
      <sheetData sheetId="0"/>
      <sheetData sheetId="1"/>
      <sheetData sheetId="2"/>
      <sheetData sheetId="3"/>
      <sheetData sheetId="4"/>
      <sheetData sheetId="5"/>
      <sheetData sheetId="6">
        <row r="8">
          <cell r="S8">
            <v>5.6481734535847679</v>
          </cell>
        </row>
      </sheetData>
      <sheetData sheetId="7"/>
      <sheetData sheetId="8"/>
      <sheetData sheetId="9"/>
      <sheetData sheetId="10"/>
      <sheetData sheetId="11"/>
      <sheetData sheetId="12"/>
      <sheetData sheetId="13"/>
      <sheetData sheetId="14"/>
      <sheetData sheetId="15"/>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pivotCacheDefinition1.xml><?xml version="1.0" encoding="utf-8"?>
<pivotCacheDefinition xmlns="http://schemas.openxmlformats.org/spreadsheetml/2006/main" xmlns:r="http://schemas.openxmlformats.org/officeDocument/2006/relationships" r:id="rId1" refreshedBy="Lexos(F)" refreshedDate="41824.550621296294" createdVersion="3" refreshedVersion="3" minRefreshableVersion="3" recordCount="155">
  <cacheSource type="worksheet">
    <worksheetSource ref="A4:T159" sheet="GAP 15"/>
  </cacheSource>
  <cacheFields count="20">
    <cacheField name="Sequência" numFmtId="0">
      <sharedItems containsBlank="1" containsMixedTypes="1" containsNumber="1" minValue="1" maxValue="151"/>
    </cacheField>
    <cacheField name="Cod Activ" numFmtId="0">
      <sharedItems/>
    </cacheField>
    <cacheField name="ACTIVITES " numFmtId="0">
      <sharedItems longText="1"/>
    </cacheField>
    <cacheField name="Prioridade" numFmtId="0">
      <sharedItems containsSemiMixedTypes="0" containsString="0" containsNumber="1" containsInteger="1" minValue="1" maxValue="3" count="3">
        <n v="2"/>
        <n v="1"/>
        <n v="3"/>
      </sharedItems>
    </cacheField>
    <cacheField name="Domínio" numFmtId="0">
      <sharedItems count="5">
        <s v="Gestão do Programa "/>
        <s v="Seguimento e Avaliação"/>
        <s v="Pacote DOT"/>
        <s v="Gestão das actividades de colaboração TB/HIV "/>
        <s v="TBMR e Controlo de infecção"/>
      </sharedItems>
    </cacheField>
    <cacheField name="Modulo" numFmtId="0">
      <sharedItems containsSemiMixedTypes="0" containsString="0" containsNumber="1" containsInteger="1" minValue="1" maxValue="6"/>
    </cacheField>
    <cacheField name="Intervenção Nome" numFmtId="0">
      <sharedItems count="15">
        <s v="1: Planificação Coordenação"/>
        <s v="1: Comunicação regular da Informação"/>
        <s v="3: Gestão de Compras e Aprovisionamento"/>
        <s v="2: Gestão da Subvenção"/>
        <s v="3: Prevenção"/>
        <s v="2: Pesquisa Ooperacional"/>
        <s v="4: Implicação Comunitária"/>
        <s v="1: despitagem e diagnóstico"/>
        <s v="2: Tratamento"/>
        <s v="2: Intervenções de colaboração TB/VIH"/>
        <s v="1: Despiste e Tratamento"/>
        <s v="5: Outros (gestão TBMR)"/>
        <s v="1: Despistagem  e Diagnóstico TBMR"/>
        <s v="4: Implicação da Comunidade"/>
        <s v="3: Implicação de todos os prestadores de cuidados"/>
      </sharedItems>
    </cacheField>
    <cacheField name="INDICADOR" numFmtId="0">
      <sharedItems containsBlank="1"/>
    </cacheField>
    <cacheField name="Resultado" numFmtId="0">
      <sharedItems containsBlank="1"/>
    </cacheField>
    <cacheField name="Orçamento 2015" numFmtId="0">
      <sharedItems containsString="0" containsBlank="1" containsNumber="1" minValue="0" maxValue="563554.69999999995"/>
    </cacheField>
    <cacheField name="Orçamento 2016" numFmtId="0">
      <sharedItems containsNonDate="0" containsString="0" containsBlank="1"/>
    </cacheField>
    <cacheField name="Orçamento 2017" numFmtId="0">
      <sharedItems containsNonDate="0" containsString="0" containsBlank="1"/>
    </cacheField>
    <cacheField name="ORÇA. _x000a_2015-17" numFmtId="4">
      <sharedItems containsSemiMixedTypes="0" containsString="0" containsNumber="1" minValue="0" maxValue="563554.69999999995"/>
    </cacheField>
    <cacheField name="FG" numFmtId="4">
      <sharedItems containsString="0" containsBlank="1" containsNumber="1" minValue="0" maxValue="76968"/>
    </cacheField>
    <cacheField name="Brasil " numFmtId="4">
      <sharedItems containsString="0" containsBlank="1" containsNumber="1" minValue="0" maxValue="563554.69999999995"/>
    </cacheField>
    <cacheField name="OMS " numFmtId="4">
      <sharedItems containsString="0" containsBlank="1" containsNumber="1" minValue="0" maxValue="10039.6"/>
    </cacheField>
    <cacheField name="Portugal/Saúde para Todos " numFmtId="4">
      <sharedItems containsString="0" containsBlank="1" containsNumber="1" containsInteger="1" minValue="0" maxValue="8050"/>
    </cacheField>
    <cacheField name="Governo " numFmtId="4">
      <sharedItems containsString="0" containsBlank="1" containsNumber="1" minValue="0" maxValue="70573.580274461681"/>
    </cacheField>
    <cacheField name="Total ENGAJAMENTO POSSÍVEL" numFmtId="4">
      <sharedItems containsNonDate="0" containsString="0" containsBlank="1"/>
    </cacheField>
    <cacheField name="GAP  2015" numFmtId="4">
      <sharedItems containsString="0" containsBlank="1" containsNumber="1" minValue="0" maxValue="60152"/>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Lexos(F)" refreshedDate="41824.671201273151" createdVersion="3" refreshedVersion="3" minRefreshableVersion="3" recordCount="155">
  <cacheSource type="worksheet">
    <worksheetSource ref="A4:T159" sheet="GAP 16"/>
  </cacheSource>
  <cacheFields count="20">
    <cacheField name="Sequência" numFmtId="0">
      <sharedItems containsBlank="1" containsMixedTypes="1" containsNumber="1" minValue="1" maxValue="151"/>
    </cacheField>
    <cacheField name="Cod Activ" numFmtId="0">
      <sharedItems/>
    </cacheField>
    <cacheField name="ACTIVITES " numFmtId="0">
      <sharedItems longText="1"/>
    </cacheField>
    <cacheField name="Prioridade" numFmtId="0">
      <sharedItems containsSemiMixedTypes="0" containsString="0" containsNumber="1" containsInteger="1" minValue="1" maxValue="3" count="3">
        <n v="2"/>
        <n v="1"/>
        <n v="3"/>
      </sharedItems>
    </cacheField>
    <cacheField name="Domínio" numFmtId="0">
      <sharedItems count="5">
        <s v="Gestão do Programa "/>
        <s v="Seguimento e Avaliação"/>
        <s v="Pacote DOT"/>
        <s v="Gestão das actividades de colaboração TB/HIV "/>
        <s v="TBMR e Controlo de infecção"/>
      </sharedItems>
    </cacheField>
    <cacheField name="Modulo" numFmtId="0">
      <sharedItems containsSemiMixedTypes="0" containsString="0" containsNumber="1" containsInteger="1" minValue="1" maxValue="6"/>
    </cacheField>
    <cacheField name="Intervenção Nome" numFmtId="0">
      <sharedItems count="15">
        <s v="1: Planificação Coordenação"/>
        <s v="1: Comunicação regular da Informação"/>
        <s v="3: Gestão de Compras e Aprovisionamento"/>
        <s v="2: Gestão da Subvenção"/>
        <s v="3: Prevenção"/>
        <s v="2: Pesquisa Ooperacional"/>
        <s v="4: Implicação Comunitária"/>
        <s v="1: despitagem e diagnóstico"/>
        <s v="2: Tratamento"/>
        <s v="2: Intervenções de colaboração TB/VIH"/>
        <s v="1: Despiste e Tratamento"/>
        <s v="5: Outros (gestão TBMR)"/>
        <s v="1: Despistagem  e Diagnóstico TBMR"/>
        <s v="4: Implicação da Comunidade"/>
        <s v="3: Implicação de todos os prestadores de cuidados"/>
      </sharedItems>
    </cacheField>
    <cacheField name="INDICADOR" numFmtId="0">
      <sharedItems containsBlank="1"/>
    </cacheField>
    <cacheField name="Resultado" numFmtId="0">
      <sharedItems containsBlank="1"/>
    </cacheField>
    <cacheField name="Orçamento 2015" numFmtId="0">
      <sharedItems containsNonDate="0" containsString="0" containsBlank="1"/>
    </cacheField>
    <cacheField name="Orçamento 2016" numFmtId="0">
      <sharedItems containsString="0" containsBlank="1" containsNumber="1" minValue="0" maxValue="78101.305366506771"/>
    </cacheField>
    <cacheField name="Orçamento 2017" numFmtId="0">
      <sharedItems containsNonDate="0" containsString="0" containsBlank="1"/>
    </cacheField>
    <cacheField name="ORÇA. _x000a_2015-17" numFmtId="4">
      <sharedItems containsSemiMixedTypes="0" containsString="0" containsNumber="1" minValue="0" maxValue="78101.305366506771"/>
    </cacheField>
    <cacheField name="FG" numFmtId="4">
      <sharedItems containsString="0" containsBlank="1" containsNumber="1" minValue="0" maxValue="76968"/>
    </cacheField>
    <cacheField name="Brasil " numFmtId="4">
      <sharedItems containsString="0" containsBlank="1" containsNumber="1" containsInteger="1" minValue="0" maxValue="14400"/>
    </cacheField>
    <cacheField name="OMS " numFmtId="4">
      <sharedItems containsString="0" containsBlank="1" containsNumber="1" minValue="0" maxValue="5857.5"/>
    </cacheField>
    <cacheField name="Portugal/Saúde para Todos " numFmtId="4">
      <sharedItems containsString="0" containsBlank="1" containsNumber="1" containsInteger="1" minValue="0" maxValue="4370"/>
    </cacheField>
    <cacheField name="Governo " numFmtId="4">
      <sharedItems containsString="0" containsBlank="1" containsNumber="1" minValue="0" maxValue="78101.305366506771"/>
    </cacheField>
    <cacheField name="Total ENGAJAMENTO POSSÍVEL" numFmtId="4">
      <sharedItems containsNonDate="0" containsString="0" containsBlank="1"/>
    </cacheField>
    <cacheField name="GAP  2016" numFmtId="4">
      <sharedItems containsString="0" containsBlank="1" containsNumber="1" minValue="0" maxValue="38152"/>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Lexos(F)" refreshedDate="41824.671539467592" createdVersion="3" refreshedVersion="3" minRefreshableVersion="3" recordCount="155">
  <cacheSource type="worksheet">
    <worksheetSource ref="A4:T159" sheet="GAP 17"/>
  </cacheSource>
  <cacheFields count="20">
    <cacheField name="Sequência" numFmtId="0">
      <sharedItems containsBlank="1" containsMixedTypes="1" containsNumber="1" minValue="1" maxValue="151"/>
    </cacheField>
    <cacheField name="Cod Activ" numFmtId="0">
      <sharedItems/>
    </cacheField>
    <cacheField name="ACTIVITES " numFmtId="0">
      <sharedItems longText="1"/>
    </cacheField>
    <cacheField name="Prioridade" numFmtId="0">
      <sharedItems containsSemiMixedTypes="0" containsString="0" containsNumber="1" containsInteger="1" minValue="1" maxValue="3" count="3">
        <n v="2"/>
        <n v="1"/>
        <n v="3"/>
      </sharedItems>
    </cacheField>
    <cacheField name="Domínio" numFmtId="0">
      <sharedItems count="5">
        <s v="Gestão do Programa "/>
        <s v="Seguimento e Avaliação"/>
        <s v="Pacote DOT"/>
        <s v="Gestão das actividades de colaboração TB/HIV "/>
        <s v="TBMR e Controlo de infecção"/>
      </sharedItems>
    </cacheField>
    <cacheField name="Modulo" numFmtId="0">
      <sharedItems containsSemiMixedTypes="0" containsString="0" containsNumber="1" containsInteger="1" minValue="1" maxValue="6"/>
    </cacheField>
    <cacheField name="Intervenção Nome" numFmtId="0">
      <sharedItems count="15">
        <s v="1: Planificação Coordenação"/>
        <s v="1: Comunicação regular da Informação"/>
        <s v="3: Gestão de Compras e Aprovisionamento"/>
        <s v="2: Gestão da Subvenção"/>
        <s v="3: Prevenção"/>
        <s v="2: Pesquisa Ooperacional"/>
        <s v="4: Implicação Comunitária"/>
        <s v="1: despitagem e diagnóstico"/>
        <s v="2: Tratamento"/>
        <s v="2: Intervenções de colaboração TB/VIH"/>
        <s v="1: Despiste e Tratamento"/>
        <s v="5: Outros (gestão TBMR)"/>
        <s v="1: Despistagem  e Diagnóstico TBMR"/>
        <s v="4: Implicação da Comunidade"/>
        <s v="3: Implicação de todos os prestadores de cuidados"/>
      </sharedItems>
    </cacheField>
    <cacheField name="INDICADOR" numFmtId="0">
      <sharedItems containsBlank="1"/>
    </cacheField>
    <cacheField name="Resultado" numFmtId="0">
      <sharedItems containsBlank="1"/>
    </cacheField>
    <cacheField name="Orçamento 2015" numFmtId="0">
      <sharedItems containsNonDate="0" containsString="0" containsBlank="1"/>
    </cacheField>
    <cacheField name="Orçamento 2016" numFmtId="0">
      <sharedItems containsNonDate="0" containsString="0" containsBlank="1"/>
    </cacheField>
    <cacheField name="Orçamento 2017" numFmtId="0">
      <sharedItems containsString="0" containsBlank="1" containsNumber="1" minValue="0" maxValue="85911.435903157457"/>
    </cacheField>
    <cacheField name="ORÇA. _x000a_2015-17" numFmtId="4">
      <sharedItems containsSemiMixedTypes="0" containsString="0" containsNumber="1" minValue="0" maxValue="85911.435903157457"/>
    </cacheField>
    <cacheField name="FG" numFmtId="4">
      <sharedItems containsString="0" containsBlank="1" containsNumber="1" minValue="0" maxValue="76968"/>
    </cacheField>
    <cacheField name="Brasil " numFmtId="4">
      <sharedItems containsString="0" containsBlank="1" containsNumber="1" containsInteger="1" minValue="0" maxValue="0"/>
    </cacheField>
    <cacheField name="OMS " numFmtId="4">
      <sharedItems containsString="0" containsBlank="1" containsNumber="1" containsInteger="1" minValue="0" maxValue="0"/>
    </cacheField>
    <cacheField name="Portugal/Saúde para Todos " numFmtId="4">
      <sharedItems containsString="0" containsBlank="1" containsNumber="1" containsInteger="1" minValue="0" maxValue="9430"/>
    </cacheField>
    <cacheField name="Governo " numFmtId="4">
      <sharedItems containsString="0" containsBlank="1" containsNumber="1" minValue="0" maxValue="85911.435903157457"/>
    </cacheField>
    <cacheField name="Total ENGAJAMENTO POSSÍVEL" numFmtId="4">
      <sharedItems containsNonDate="0" containsString="0" containsBlank="1"/>
    </cacheField>
    <cacheField name="GAP  17" numFmtId="4">
      <sharedItems containsString="0" containsBlank="1" containsNumber="1" minValue="0" maxValue="7140"/>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Lexos(F)" refreshedDate="41834.83371608796" createdVersion="3" refreshedVersion="3" minRefreshableVersion="3" recordCount="163">
  <cacheSource type="worksheet">
    <worksheetSource ref="A4:V167" sheet="GAP 15-17"/>
  </cacheSource>
  <cacheFields count="22">
    <cacheField name="Sequência" numFmtId="0">
      <sharedItems containsBlank="1" containsMixedTypes="1" containsNumber="1" minValue="1" maxValue="151"/>
    </cacheField>
    <cacheField name="Cod Activ" numFmtId="0">
      <sharedItems containsBlank="1"/>
    </cacheField>
    <cacheField name="ACTIVITES " numFmtId="0">
      <sharedItems containsBlank="1" longText="1"/>
    </cacheField>
    <cacheField name="Prioridade" numFmtId="0">
      <sharedItems containsString="0" containsBlank="1" containsNumber="1" containsInteger="1" minValue="1" maxValue="3" count="4">
        <n v="2"/>
        <n v="1"/>
        <n v="3"/>
        <m/>
      </sharedItems>
    </cacheField>
    <cacheField name="Domínio" numFmtId="0">
      <sharedItems containsBlank="1" count="6">
        <s v="Gestão do Programa "/>
        <s v="TBMR e Controlo de infecção"/>
        <s v="Pacote DOT"/>
        <s v="Seguimento e Avaliação"/>
        <s v="Gestão das actividades de colaboração TB/HIV "/>
        <m/>
      </sharedItems>
    </cacheField>
    <cacheField name="Modulo" numFmtId="0">
      <sharedItems containsString="0" containsBlank="1" containsNumber="1" containsInteger="1" minValue="1" maxValue="5"/>
    </cacheField>
    <cacheField name="Intervenção Nome" numFmtId="0">
      <sharedItems containsBlank="1" count="16">
        <s v="1: Planificação Coordenação"/>
        <s v="1: Comunicação regular da Informação"/>
        <s v="3: Gestão de Compras e Aprovisionamento"/>
        <s v="2: Gestão da Subvenção"/>
        <s v="3: Prevenção"/>
        <s v="2: Pesquisa Ooperacional"/>
        <s v="4: Implicação Comunitária"/>
        <s v="1: despitagem e diagnóstico"/>
        <s v="2: Tratamento"/>
        <s v="2: Intervenções de colaboração TB/VIH"/>
        <s v="1: Despiste e Tratamento"/>
        <s v="5: Outros (gestão TBMR)"/>
        <s v="1: Despistagem  e Diagnóstico TBMR"/>
        <s v="4: Implicação da Comunidade"/>
        <s v="3: Implicação de todos os prestadores de cuidados"/>
        <m/>
      </sharedItems>
    </cacheField>
    <cacheField name="INDICADOR" numFmtId="0">
      <sharedItems containsBlank="1"/>
    </cacheField>
    <cacheField name="Resultado" numFmtId="0">
      <sharedItems containsBlank="1"/>
    </cacheField>
    <cacheField name="Parceiro de Implementação" numFmtId="0">
      <sharedItems containsBlank="1"/>
    </cacheField>
    <cacheField name="DPS" numFmtId="0">
      <sharedItems containsBlank="1" count="11">
        <s v="Coût de gestion et d’administration du programme"/>
        <s v="S&amp;E"/>
        <m/>
        <s v="Amélioration du diagnostic"/>
        <s v="HSS (renforcement des systèmes de santé) :  Professionnels de la santé"/>
        <s v="Gestion des achats et des stocks "/>
        <s v="Sensibilisation, communication et mobilisation sociale "/>
        <s v="PAL (approche pratique de la santé pulmonaire)"/>
        <s v="Soins communautaires de la tuberculose "/>
        <s v="Tuberculose / VIH"/>
        <s v="Tuberculose à bacilles multirésistants"/>
      </sharedItems>
    </cacheField>
    <cacheField name="Assumptions" numFmtId="0">
      <sharedItems containsBlank="1" containsMixedTypes="1" containsNumber="1" containsInteger="1" minValue="1" maxValue="3" longText="1"/>
    </cacheField>
    <cacheField name="Orçamento 2015" numFmtId="0">
      <sharedItems containsString="0" containsBlank="1" containsNumber="1" minValue="0" maxValue="1551665.0500698467"/>
    </cacheField>
    <cacheField name="Orçamento 2016" numFmtId="0">
      <sharedItems containsString="0" containsBlank="1" containsNumber="1" minValue="0" maxValue="631420.94715539552"/>
    </cacheField>
    <cacheField name="Orçamento 2017" numFmtId="0">
      <sharedItems containsString="0" containsBlank="1" containsNumber="1" minValue="0" maxValue="495569.84435871302"/>
    </cacheField>
    <cacheField name="ORÇA. _x000a_2015-17" numFmtId="0">
      <sharedItems containsString="0" containsBlank="1" containsNumber="1" minValue="0" maxValue="2678655.841583956"/>
    </cacheField>
    <cacheField name="FG" numFmtId="0">
      <sharedItems containsString="0" containsBlank="1" containsNumber="1" minValue="0" maxValue="1385949.2233333329"/>
    </cacheField>
    <cacheField name="Brasil " numFmtId="0">
      <sharedItems containsString="0" containsBlank="1" containsNumber="1" minValue="0" maxValue="609510.69999999995"/>
    </cacheField>
    <cacheField name="OMS " numFmtId="0">
      <sharedItems containsString="0" containsBlank="1" containsNumber="1" minValue="0" maxValue="20359.439117606955"/>
    </cacheField>
    <cacheField name="Portugal/Saúde para Todos " numFmtId="0">
      <sharedItems containsString="0" containsBlank="1" containsNumber="1" containsInteger="1" minValue="0" maxValue="26728"/>
    </cacheField>
    <cacheField name="Governo " numFmtId="0">
      <sharedItems containsString="0" containsBlank="1" containsNumber="1" minValue="0" maxValue="282980.55913301476"/>
    </cacheField>
    <cacheField name="Total ENGAJAMENTO POSSÍVEL" numFmtId="0">
      <sharedItems containsString="0" containsBlank="1"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Lexos(F)" refreshedDate="41834.836682175926" createdVersion="3" refreshedVersion="3" minRefreshableVersion="3" recordCount="155">
  <cacheSource type="worksheet">
    <worksheetSource ref="A4:W159" sheet="GAP 15-17"/>
  </cacheSource>
  <cacheFields count="23">
    <cacheField name="Sequência" numFmtId="0">
      <sharedItems containsBlank="1" containsMixedTypes="1" containsNumber="1" minValue="1" maxValue="151"/>
    </cacheField>
    <cacheField name="Cod Activ" numFmtId="0">
      <sharedItems/>
    </cacheField>
    <cacheField name="ACTIVITES " numFmtId="0">
      <sharedItems longText="1"/>
    </cacheField>
    <cacheField name="Prioridade" numFmtId="0">
      <sharedItems containsSemiMixedTypes="0" containsString="0" containsNumber="1" containsInteger="1" minValue="1" maxValue="3" count="3">
        <n v="2"/>
        <n v="1"/>
        <n v="3"/>
      </sharedItems>
    </cacheField>
    <cacheField name="Domínio" numFmtId="0">
      <sharedItems count="5">
        <s v="Gestão do Programa "/>
        <s v="TBMR e Controlo de infecção"/>
        <s v="Pacote DOT"/>
        <s v="Seguimento e Avaliação"/>
        <s v="Gestão das actividades de colaboração TB/HIV "/>
      </sharedItems>
    </cacheField>
    <cacheField name="Modulo" numFmtId="0">
      <sharedItems containsSemiMixedTypes="0" containsString="0" containsNumber="1" containsInteger="1" minValue="1" maxValue="5"/>
    </cacheField>
    <cacheField name="Intervenção Nome" numFmtId="0">
      <sharedItems count="15">
        <s v="1: Planificação Coordenação"/>
        <s v="1: Comunicação regular da Informação"/>
        <s v="3: Gestão de Compras e Aprovisionamento"/>
        <s v="2: Gestão da Subvenção"/>
        <s v="3: Prevenção"/>
        <s v="2: Pesquisa Ooperacional"/>
        <s v="4: Implicação Comunitária"/>
        <s v="1: despitagem e diagnóstico"/>
        <s v="2: Tratamento"/>
        <s v="2: Intervenções de colaboração TB/VIH"/>
        <s v="1: Despiste e Tratamento"/>
        <s v="5: Outros (gestão TBMR)"/>
        <s v="1: Despistagem  e Diagnóstico TBMR"/>
        <s v="4: Implicação da Comunidade"/>
        <s v="3: Implicação de todos os prestadores de cuidados"/>
      </sharedItems>
    </cacheField>
    <cacheField name="INDICADOR" numFmtId="0">
      <sharedItems containsBlank="1"/>
    </cacheField>
    <cacheField name="Resultado" numFmtId="0">
      <sharedItems containsBlank="1"/>
    </cacheField>
    <cacheField name="Parceiro de Implementação" numFmtId="0">
      <sharedItems/>
    </cacheField>
    <cacheField name="DPS" numFmtId="0">
      <sharedItems containsBlank="1" count="11">
        <s v="Coût de gestion et d’administration du programme"/>
        <s v="S&amp;E"/>
        <m/>
        <s v="Amélioration du diagnostic"/>
        <s v="HSS (renforcement des systèmes de santé) :  Professionnels de la santé"/>
        <s v="Gestion des achats et des stocks "/>
        <s v="Sensibilisation, communication et mobilisation sociale "/>
        <s v="PAL (approche pratique de la santé pulmonaire)"/>
        <s v="Soins communautaires de la tuberculose "/>
        <s v="Tuberculose / VIH"/>
        <s v="Tuberculose à bacilles multirésistants"/>
      </sharedItems>
    </cacheField>
    <cacheField name="Assumptions" numFmtId="0">
      <sharedItems containsBlank="1" containsMixedTypes="1" containsNumber="1" containsInteger="1" minValue="1" maxValue="3" longText="1"/>
    </cacheField>
    <cacheField name="Orçamento 2015" numFmtId="0">
      <sharedItems containsString="0" containsBlank="1" containsNumber="1" minValue="0" maxValue="563554.69999999995"/>
    </cacheField>
    <cacheField name="Orçamento 2016" numFmtId="0">
      <sharedItems containsString="0" containsBlank="1" containsNumber="1" minValue="0" maxValue="78101.305366506771"/>
    </cacheField>
    <cacheField name="Orçamento 2017" numFmtId="0">
      <sharedItems containsString="0" containsBlank="1" containsNumber="1" minValue="0" maxValue="85911.435903157457"/>
    </cacheField>
    <cacheField name="ORÇA. _x000a_2015-17" numFmtId="4">
      <sharedItems containsSemiMixedTypes="0" containsString="0" containsNumber="1" minValue="0" maxValue="563554.69999999995"/>
    </cacheField>
    <cacheField name="FG" numFmtId="4">
      <sharedItems containsString="0" containsBlank="1" containsNumber="1" minValue="0" maxValue="180990"/>
    </cacheField>
    <cacheField name="Brasil " numFmtId="4">
      <sharedItems containsString="0" containsBlank="1" containsNumber="1" minValue="0" maxValue="563554.69999999995"/>
    </cacheField>
    <cacheField name="OMS " numFmtId="4">
      <sharedItems containsString="0" containsBlank="1" containsNumber="1" minValue="0" maxValue="9538.8791176069535"/>
    </cacheField>
    <cacheField name="Portugal/Saúde para Todos " numFmtId="4">
      <sharedItems containsString="0" containsBlank="1" containsNumber="1" containsInteger="1" minValue="0" maxValue="21850"/>
    </cacheField>
    <cacheField name="Governo " numFmtId="4">
      <sharedItems containsString="0" containsBlank="1" containsNumber="1" minValue="0" maxValue="234586.32154412591"/>
    </cacheField>
    <cacheField name="Total ENGAJAMENTO POSSÍVEL" numFmtId="4">
      <sharedItems containsNonDate="0" containsString="0" containsBlank="1"/>
    </cacheField>
    <cacheField name="GAP  2013-2017" numFmtId="4">
      <sharedItems containsString="0" containsBlank="1" containsNumber="1" minValue="0" maxValue="76304"/>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Lexos(F)" refreshedDate="41835.558777199076" createdVersion="3" refreshedVersion="3" minRefreshableVersion="3" recordCount="155">
  <cacheSource type="worksheet">
    <worksheetSource ref="A4:V159" sheet="GAP 13-17 "/>
  </cacheSource>
  <cacheFields count="22">
    <cacheField name="Sequência" numFmtId="0">
      <sharedItems containsBlank="1" containsMixedTypes="1" containsNumber="1" minValue="1" maxValue="151"/>
    </cacheField>
    <cacheField name="Cod Activ" numFmtId="0">
      <sharedItems/>
    </cacheField>
    <cacheField name="ACTIVITES " numFmtId="0">
      <sharedItems longText="1"/>
    </cacheField>
    <cacheField name="Prioridade" numFmtId="0">
      <sharedItems containsString="0" containsBlank="1" containsNumber="1" containsInteger="1" minValue="1" maxValue="3"/>
    </cacheField>
    <cacheField name="Domínio" numFmtId="0">
      <sharedItems count="5">
        <s v="Gestão do Programa "/>
        <s v="Seguimento e Avaliação"/>
        <s v="Pacote DOT"/>
        <s v="Gestão das actividades de colaboração TB/HIV "/>
        <s v="TBMR e Controlo de infecção"/>
      </sharedItems>
    </cacheField>
    <cacheField name="Modulo" numFmtId="0">
      <sharedItems containsSemiMixedTypes="0" containsString="0" containsNumber="1" containsInteger="1" minValue="1" maxValue="6"/>
    </cacheField>
    <cacheField name="Intervenção Nome" numFmtId="0">
      <sharedItems count="15">
        <s v="1: Planificação Coordenação"/>
        <s v="1: Comunicação regular da Informação"/>
        <s v="3: Gestão de Compras e Aprovisionamento"/>
        <s v="2: Gestão da Subvenção"/>
        <s v="3: Prevenção"/>
        <s v="2: Pesquisa Ooperacional"/>
        <s v="4: Implicação Comunitária"/>
        <s v="1: despitagem e diagnóstico"/>
        <s v="2: Tratamento"/>
        <s v="2: Intervenções de colaboração TB/VIH"/>
        <s v="1: Despiste e Tratamento"/>
        <s v="5: Outros (gestão TBMR)"/>
        <s v="1: Despistagem  e Diagnóstico TBMR"/>
        <s v="4: Implicação da Comunidade"/>
        <s v="3: Implicação de todos os prestadores de cuidados"/>
      </sharedItems>
    </cacheField>
    <cacheField name="INDICADOR" numFmtId="0">
      <sharedItems containsBlank="1"/>
    </cacheField>
    <cacheField name="Resultado" numFmtId="0">
      <sharedItems containsBlank="1"/>
    </cacheField>
    <cacheField name="Orçamento 2013" numFmtId="0">
      <sharedItems containsString="0" containsBlank="1" containsNumber="1" minValue="0" maxValue="60330"/>
    </cacheField>
    <cacheField name="Orçamento 2014" numFmtId="0">
      <sharedItems containsString="0" containsBlank="1" containsNumber="1" minValue="0" maxValue="563554.69999999995"/>
    </cacheField>
    <cacheField name="Orçamento 2015" numFmtId="0">
      <sharedItems containsString="0" containsBlank="1" containsNumber="1" minValue="0" maxValue="563554.69999999995"/>
    </cacheField>
    <cacheField name="Orçamento 2016" numFmtId="0">
      <sharedItems containsString="0" containsBlank="1" containsNumber="1" minValue="0" maxValue="78101.305366506771"/>
    </cacheField>
    <cacheField name="Orçamento 2017" numFmtId="0">
      <sharedItems containsString="0" containsBlank="1" containsNumber="1" minValue="0" maxValue="85911.435903157457"/>
    </cacheField>
    <cacheField name="ORÇA. _x000a_2013-17" numFmtId="4">
      <sharedItems containsSemiMixedTypes="0" containsString="0" containsNumber="1" minValue="0" maxValue="1127109.3999999999"/>
    </cacheField>
    <cacheField name="FG" numFmtId="4">
      <sharedItems containsString="0" containsBlank="1" containsNumber="1" minValue="0" maxValue="301650"/>
    </cacheField>
    <cacheField name="Brasil " numFmtId="4">
      <sharedItems containsString="0" containsBlank="1" containsNumber="1" minValue="0" maxValue="1127109.3999999999"/>
    </cacheField>
    <cacheField name="OMS " numFmtId="4">
      <sharedItems containsString="0" containsBlank="1" containsNumber="1" minValue="0" maxValue="14028.4"/>
    </cacheField>
    <cacheField name="Portugal/Saúde para Todos " numFmtId="4">
      <sharedItems containsString="0" containsBlank="1" containsNumber="1" containsInteger="1" minValue="0" maxValue="33005"/>
    </cacheField>
    <cacheField name="Governo " numFmtId="4">
      <sharedItems containsString="0" containsBlank="1" containsNumber="1" minValue="0" maxValue="299895.25828405673"/>
    </cacheField>
    <cacheField name="Total ENGAJAMENTO POSSÍVEL" numFmtId="4">
      <sharedItems containsNonDate="0" containsString="0" containsBlank="1"/>
    </cacheField>
    <cacheField name="GAP  2013-2017" numFmtId="4">
      <sharedItems containsString="0" containsBlank="1" containsNumber="1" minValue="0" maxValue="7630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5">
  <r>
    <n v="1"/>
    <s v="1.1.1"/>
    <s v="Elaborar e imprimir edivulgar plano de advocacia,  "/>
    <x v="0"/>
    <x v="0"/>
    <n v="1"/>
    <x v="0"/>
    <s v="Numero de documentos elaborados e disponíveis"/>
    <s v="As capacidades gestionárias do programa reforçadas"/>
    <n v="7778.35"/>
    <m/>
    <m/>
    <n v="7778.35"/>
    <m/>
    <m/>
    <m/>
    <m/>
    <m/>
    <m/>
    <n v="7778.35"/>
  </r>
  <r>
    <n v="2"/>
    <s v="1.1.2"/>
    <s v="Elaborar/Rever e imprimir  plano anual operacional de implementação"/>
    <x v="1"/>
    <x v="0"/>
    <n v="1"/>
    <x v="0"/>
    <s v="Numero de documentos elaborados e disponíveis"/>
    <s v="As capacidades gestionárias do programa reforçadas"/>
    <n v="5177.6400000000012"/>
    <m/>
    <m/>
    <n v="5177.6400000000012"/>
    <n v="5177.6400000000012"/>
    <m/>
    <m/>
    <m/>
    <m/>
    <m/>
    <m/>
  </r>
  <r>
    <n v="3"/>
    <s v="1.1.3"/>
    <s v="Elaborar  e imprimir  plano de mobilização da recurso"/>
    <x v="2"/>
    <x v="0"/>
    <n v="1"/>
    <x v="0"/>
    <s v="Numero de documentos elaborados e disponíveis"/>
    <s v="As capacidades gestionárias do programa reforçadas"/>
    <n v="3315.83"/>
    <m/>
    <m/>
    <n v="3315.83"/>
    <m/>
    <m/>
    <m/>
    <m/>
    <m/>
    <m/>
    <n v="3315.83"/>
  </r>
  <r>
    <n v="4"/>
    <s v="1.1.4"/>
    <s v="Elaborar  e imprimir  plano de formação"/>
    <x v="1"/>
    <x v="0"/>
    <n v="1"/>
    <x v="0"/>
    <s v="Numero de documentos elaborados e disponíveis"/>
    <s v="As capacidades gestionárias do programa reforçadas"/>
    <n v="1905.11"/>
    <m/>
    <m/>
    <n v="1905.11"/>
    <n v="1905.11"/>
    <m/>
    <m/>
    <m/>
    <m/>
    <m/>
    <m/>
  </r>
  <r>
    <n v="5"/>
    <s v="1.1.5"/>
    <s v="Elaborar  e imprimir  plano TB MR"/>
    <x v="2"/>
    <x v="0"/>
    <n v="1"/>
    <x v="0"/>
    <s v="Numero de documentos elaborados e disponíveis"/>
    <s v="As capacidades gestionárias do programa reforçadas"/>
    <n v="2951.1100000000006"/>
    <m/>
    <m/>
    <n v="2951.1100000000006"/>
    <n v="2951.1100000000006"/>
    <m/>
    <m/>
    <m/>
    <m/>
    <m/>
    <m/>
  </r>
  <r>
    <n v="6"/>
    <s v="1.1.6"/>
    <s v="Elaborar  e imprimir  manual de procedimento administrativo, "/>
    <x v="2"/>
    <x v="0"/>
    <n v="1"/>
    <x v="0"/>
    <s v="Numero de documentos elaborados e disponíveis"/>
    <s v="As capacidades gestionárias do programa reforçadas"/>
    <n v="0"/>
    <m/>
    <m/>
    <n v="0"/>
    <m/>
    <m/>
    <m/>
    <m/>
    <m/>
    <m/>
    <n v="0"/>
  </r>
  <r>
    <n v="7"/>
    <s v="1.1.7"/>
    <s v="Elaborar  e imprimir  politica sobre a gestão de medicamentos, "/>
    <x v="0"/>
    <x v="0"/>
    <n v="1"/>
    <x v="0"/>
    <s v="Numero de documentos elaborados e disponíveis"/>
    <s v="As capacidades gestionárias do programa reforçadas"/>
    <n v="4963.0599999999995"/>
    <m/>
    <m/>
    <n v="4963.0599999999995"/>
    <m/>
    <m/>
    <n v="4963.0599999999995"/>
    <m/>
    <m/>
    <m/>
    <m/>
  </r>
  <r>
    <n v="8"/>
    <s v="1.1.7.1"/>
    <s v="Multiplicar e disseminar 100 exemplares de modulo de formação em manejo de casos de TB"/>
    <x v="1"/>
    <x v="0"/>
    <n v="1"/>
    <x v="0"/>
    <m/>
    <s v="As capacidades gestionárias do programa reforçadas"/>
    <n v="582.78000000000009"/>
    <m/>
    <m/>
    <n v="582.78000000000009"/>
    <m/>
    <m/>
    <m/>
    <m/>
    <m/>
    <m/>
    <n v="582.78000000000009"/>
  </r>
  <r>
    <n v="9"/>
    <s v="1.1.8"/>
    <s v="Revisão  e impressãodo guia de supervisão) "/>
    <x v="1"/>
    <x v="0"/>
    <n v="1"/>
    <x v="0"/>
    <s v="Numero de documentos elaborados e disponíveis"/>
    <s v="As capacidades gestionárias do programa reforçadas"/>
    <n v="0"/>
    <m/>
    <m/>
    <n v="0"/>
    <n v="0"/>
    <m/>
    <m/>
    <m/>
    <m/>
    <m/>
    <m/>
  </r>
  <r>
    <n v="10"/>
    <s v="1.1.9"/>
    <s v="Descrição de atribuições das vagas a criar (TDR)"/>
    <x v="2"/>
    <x v="0"/>
    <n v="1"/>
    <x v="0"/>
    <s v="Numero de documentos elaborados e disponíveis"/>
    <s v="As capacidades gestionárias do programa reforçadas"/>
    <n v="0"/>
    <m/>
    <m/>
    <n v="0"/>
    <m/>
    <m/>
    <m/>
    <m/>
    <n v="0"/>
    <m/>
    <m/>
  </r>
  <r>
    <n v="11"/>
    <s v="1.1.10"/>
    <s v="Criar e dotar vagas para o PNLT"/>
    <x v="1"/>
    <x v="0"/>
    <n v="1"/>
    <x v="0"/>
    <m/>
    <s v="As capacidades gestionárias do programa reforçadas"/>
    <m/>
    <m/>
    <m/>
    <n v="0"/>
    <n v="0"/>
    <n v="0"/>
    <n v="0"/>
    <n v="0"/>
    <n v="0"/>
    <m/>
    <n v="0"/>
  </r>
  <r>
    <n v="12"/>
    <s v="1.1.11"/>
    <s v="Atribuição da nova grelha salarial à equipa  PNLT"/>
    <x v="1"/>
    <x v="0"/>
    <n v="1"/>
    <x v="0"/>
    <m/>
    <s v="As capacidades gestionárias do programa reforçadas"/>
    <n v="76968"/>
    <m/>
    <m/>
    <n v="76968"/>
    <n v="76968"/>
    <m/>
    <m/>
    <m/>
    <m/>
    <m/>
    <m/>
  </r>
  <r>
    <n v="13"/>
    <s v="1.1.12"/>
    <s v="Atelier de 3 dias para a Revisão do Guia de laboratório (10 participantes)"/>
    <x v="1"/>
    <x v="0"/>
    <n v="1"/>
    <x v="0"/>
    <m/>
    <s v="As capacidades gestionárias do programa reforçadas"/>
    <n v="0"/>
    <m/>
    <m/>
    <n v="0"/>
    <m/>
    <n v="0"/>
    <m/>
    <m/>
    <m/>
    <m/>
    <m/>
  </r>
  <r>
    <n v="14"/>
    <s v="1.2.1"/>
    <s v="Formação em Gestão do Programa 3 pessoas"/>
    <x v="1"/>
    <x v="0"/>
    <n v="1"/>
    <x v="0"/>
    <s v="Numero de pessoal formado"/>
    <s v="As capacidades gestionárias do programa reforçadas"/>
    <n v="11876"/>
    <m/>
    <m/>
    <n v="11876"/>
    <n v="11876"/>
    <m/>
    <m/>
    <m/>
    <m/>
    <m/>
    <m/>
  </r>
  <r>
    <n v="15"/>
    <s v="1.2.2"/>
    <s v=" Formação em gestão da TB 15 pessoas"/>
    <x v="1"/>
    <x v="0"/>
    <n v="1"/>
    <x v="0"/>
    <s v="Numero de pessoal formado"/>
    <s v="As capacidades gestionárias do programa reforçadas"/>
    <n v="0"/>
    <m/>
    <m/>
    <n v="0"/>
    <n v="0"/>
    <m/>
    <m/>
    <m/>
    <m/>
    <m/>
    <m/>
  </r>
  <r>
    <n v="16"/>
    <s v="1.2.3"/>
    <s v="Formação em saúde pública 2 pessoas"/>
    <x v="0"/>
    <x v="0"/>
    <n v="1"/>
    <x v="0"/>
    <s v="Numero de pessoal formado"/>
    <s v="As capacidades gestionárias do programa reforçadas"/>
    <n v="60152"/>
    <m/>
    <m/>
    <n v="60152"/>
    <m/>
    <m/>
    <m/>
    <m/>
    <m/>
    <m/>
    <n v="60152"/>
  </r>
  <r>
    <n v="17"/>
    <s v="1.2.4"/>
    <s v="Formação em gestão administrativa 1 pessoa"/>
    <x v="1"/>
    <x v="0"/>
    <n v="1"/>
    <x v="0"/>
    <s v="Numero de pessoal formado"/>
    <s v="As capacidades gestionárias do programa reforçadas"/>
    <n v="10376"/>
    <m/>
    <m/>
    <n v="10376"/>
    <m/>
    <m/>
    <m/>
    <m/>
    <m/>
    <m/>
    <n v="10376"/>
  </r>
  <r>
    <n v="18"/>
    <s v="1.2.5"/>
    <s v="Formação em Seguimento e avaliação 2 pessoas"/>
    <x v="1"/>
    <x v="1"/>
    <n v="2"/>
    <x v="1"/>
    <s v="Numero de pessoal formado"/>
    <s v="As capacidades gestionárias do programa reforçadas"/>
    <n v="38152"/>
    <m/>
    <m/>
    <n v="38152"/>
    <m/>
    <m/>
    <m/>
    <m/>
    <m/>
    <m/>
    <n v="38152"/>
  </r>
  <r>
    <n v="19"/>
    <s v="1.2.6"/>
    <s v="Formar 3 pessoas (2 farmácia e 1 medico de programa) em gestão e aprovisionamento de medicamentos "/>
    <x v="1"/>
    <x v="0"/>
    <n v="1"/>
    <x v="2"/>
    <s v="Numero de pessoal formado"/>
    <s v="As capacidades gestionárias do programa reforçadas"/>
    <n v="20752"/>
    <m/>
    <m/>
    <n v="20752"/>
    <n v="20752"/>
    <m/>
    <m/>
    <m/>
    <m/>
    <m/>
    <m/>
  </r>
  <r>
    <n v="20"/>
    <s v="1.2.7"/>
    <s v="Formar 12 Técnicos de Farmácia (6 CDT, 1 RAP, 3 HAM e 2 FNM) em gestão de medicamentos (1 sessão de 5 dias no Ano 1) "/>
    <x v="1"/>
    <x v="0"/>
    <n v="1"/>
    <x v="2"/>
    <s v="Numero de pessoal formado"/>
    <s v="As capacidades gestionárias do programa reforçadas"/>
    <n v="4103.0599999999995"/>
    <m/>
    <m/>
    <n v="4103.0599999999995"/>
    <n v="4103.0599999999995"/>
    <m/>
    <m/>
    <m/>
    <m/>
    <m/>
    <m/>
  </r>
  <r>
    <n v="21"/>
    <s v="1.2.8"/>
    <s v="Reciclar 12 Técnicos de Farmácia (6 CDT, 1 RAP, 3 HAM e 2 FNM) em gestão de medicamentos (1 sessão de 5 dias no Ano 3) "/>
    <x v="0"/>
    <x v="0"/>
    <n v="1"/>
    <x v="2"/>
    <s v="Numero de pessoal formado"/>
    <s v="As capacidades gestionárias do programa reforçadas"/>
    <m/>
    <m/>
    <m/>
    <n v="0"/>
    <m/>
    <m/>
    <m/>
    <m/>
    <m/>
    <m/>
    <n v="0"/>
  </r>
  <r>
    <n v="22"/>
    <s v="1.3"/>
    <s v=" Advocacia para criar e dotar vagas para o PNLT (Um Director do programa médicos (2), enfermeira ( 1) seguimento  e avaliação, uma técnica de laboratório(1), um técnico de farmácia (1), secretaria (1),  técnico administrativo (1), motorista(1), assistente pedagógica até 2017"/>
    <x v="1"/>
    <x v="0"/>
    <n v="1"/>
    <x v="0"/>
    <s v="Numero de lugares criados dotados"/>
    <s v="As capacidades gestionárias do programa reforçadas"/>
    <n v="0"/>
    <m/>
    <m/>
    <n v="0"/>
    <m/>
    <m/>
    <m/>
    <m/>
    <n v="0"/>
    <m/>
    <m/>
  </r>
  <r>
    <n v="23"/>
    <s v="1.4"/>
    <s v="Realizar Semestralmente e trimestralmente encontros de coordenação entre os diferentes parceiros "/>
    <x v="2"/>
    <x v="0"/>
    <n v="1"/>
    <x v="0"/>
    <s v="Numero de relatórios das reuniões disponíveis"/>
    <s v="As capacidades gestionárias do programa reforçadas"/>
    <n v="366.67"/>
    <m/>
    <m/>
    <n v="366.67"/>
    <n v="366.67"/>
    <m/>
    <m/>
    <m/>
    <m/>
    <m/>
    <m/>
  </r>
  <r>
    <n v="24"/>
    <s v="1.4.1"/>
    <s v="Realizar trimestralmente encontros de coordenação entre os diferentes níveis"/>
    <x v="1"/>
    <x v="0"/>
    <n v="1"/>
    <x v="0"/>
    <m/>
    <s v="As capacidades gestionárias do programa reforçadas"/>
    <n v="1450"/>
    <m/>
    <m/>
    <n v="1450"/>
    <n v="1450"/>
    <m/>
    <m/>
    <m/>
    <m/>
    <m/>
    <m/>
  </r>
  <r>
    <n v="25"/>
    <s v="1.5.1"/>
    <s v="Aquisição de materiais equipamento de escritório, e comunicação)"/>
    <x v="1"/>
    <x v="0"/>
    <n v="1"/>
    <x v="3"/>
    <s v="Numero de relatório técnicos e financeiros"/>
    <s v="As capacidades gestionárias do programa reforçadas"/>
    <n v="5904.7700000000013"/>
    <m/>
    <m/>
    <n v="5904.7700000000013"/>
    <m/>
    <m/>
    <m/>
    <m/>
    <m/>
    <m/>
    <n v="5904.7700000000013"/>
  </r>
  <r>
    <n v="26"/>
    <s v="1.5.2"/>
    <s v="Assegurar o funcionamento do PNLT"/>
    <x v="1"/>
    <x v="0"/>
    <n v="1"/>
    <x v="3"/>
    <m/>
    <s v="As capacidades gestionárias do programa reforçadas"/>
    <n v="5074.08"/>
    <m/>
    <m/>
    <n v="5074.08"/>
    <n v="5074.08"/>
    <m/>
    <m/>
    <m/>
    <m/>
    <m/>
    <m/>
  </r>
  <r>
    <s v="26.1"/>
    <s v="1.5.2.1"/>
    <s v="Assegurar o funcionamento das Unidades Sanitárias no processo de descentralização da  estratégia DOT"/>
    <x v="1"/>
    <x v="0"/>
    <n v="1"/>
    <x v="3"/>
    <m/>
    <m/>
    <n v="70573.580274461681"/>
    <m/>
    <m/>
    <n v="70573.580274461681"/>
    <m/>
    <m/>
    <m/>
    <m/>
    <n v="70573.580274461681"/>
    <m/>
    <m/>
  </r>
  <r>
    <n v="27"/>
    <s v="1.5.3"/>
    <s v="Assegurar o funcionamento do PNLT (Seguro de Transporte de PNLT)"/>
    <x v="1"/>
    <x v="0"/>
    <n v="1"/>
    <x v="3"/>
    <m/>
    <s v="As capacidades gestionárias do programa reforçadas"/>
    <n v="6306.48"/>
    <m/>
    <m/>
    <n v="6306.48"/>
    <n v="6306.48"/>
    <m/>
    <m/>
    <m/>
    <m/>
    <m/>
    <m/>
  </r>
  <r>
    <n v="28"/>
    <s v="1.5.4"/>
    <s v="Assegurar o funcionamento do PNLT (Manutenção de viatura)"/>
    <x v="1"/>
    <x v="0"/>
    <n v="1"/>
    <x v="3"/>
    <m/>
    <s v="As capacidades gestionárias do programa reforçadas"/>
    <n v="8320"/>
    <m/>
    <m/>
    <n v="8320"/>
    <n v="8320"/>
    <m/>
    <m/>
    <m/>
    <m/>
    <m/>
    <m/>
  </r>
  <r>
    <n v="29"/>
    <s v="1.6.1"/>
    <s v="Aquisição de 1 viatura"/>
    <x v="1"/>
    <x v="0"/>
    <n v="1"/>
    <x v="3"/>
    <m/>
    <s v="As capacidades gestionárias do programa reforçadas"/>
    <n v="32240"/>
    <m/>
    <m/>
    <n v="32240"/>
    <n v="32240"/>
    <m/>
    <m/>
    <m/>
    <m/>
    <m/>
    <m/>
  </r>
  <r>
    <n v="30"/>
    <s v="1.6.2"/>
    <s v="Aquisição de 7 KIT informático"/>
    <x v="1"/>
    <x v="0"/>
    <n v="1"/>
    <x v="3"/>
    <m/>
    <s v="As capacidades gestionárias do programa reforçadas"/>
    <n v="48611.11"/>
    <m/>
    <m/>
    <n v="48611.11"/>
    <n v="48611.11"/>
    <m/>
    <m/>
    <m/>
    <m/>
    <m/>
    <m/>
  </r>
  <r>
    <n v="31"/>
    <s v="1.6.3"/>
    <s v="Contratar uma empresa para assegurar a manutenção dos equipamentos (informático, frigoríficos, ar condicionados, a) contínuo durante 5 anos"/>
    <x v="0"/>
    <x v="0"/>
    <n v="1"/>
    <x v="3"/>
    <m/>
    <s v="As capacidades gestionárias do programa reforçadas"/>
    <n v="1284"/>
    <m/>
    <m/>
    <n v="1284"/>
    <m/>
    <m/>
    <m/>
    <m/>
    <m/>
    <m/>
    <n v="1284"/>
  </r>
  <r>
    <n v="32"/>
    <s v="1.6.4"/>
    <s v="Aquisição de 2 aparelho de medição da temperatura do ambiente – registo durante 24 horas"/>
    <x v="1"/>
    <x v="0"/>
    <n v="1"/>
    <x v="2"/>
    <m/>
    <s v="As capacidades gestionárias do programa reforçadas"/>
    <n v="7000"/>
    <m/>
    <m/>
    <n v="7000"/>
    <n v="7000"/>
    <m/>
    <m/>
    <m/>
    <m/>
    <m/>
    <m/>
  </r>
  <r>
    <n v="33"/>
    <s v="1.6.4.1"/>
    <s v="Assegurar o funcionamento do aparelho de medição da temperatura do ambiente – rolo de registo de oscilação "/>
    <x v="1"/>
    <x v="0"/>
    <n v="1"/>
    <x v="2"/>
    <m/>
    <s v="As capacidades gestionárias do programa reforçadas"/>
    <n v="5100"/>
    <m/>
    <m/>
    <n v="5100"/>
    <n v="5100"/>
    <m/>
    <m/>
    <m/>
    <m/>
    <m/>
    <m/>
  </r>
  <r>
    <n v="34"/>
    <s v="1.6.4.2"/>
    <s v="Contratar uma empresa para assegurar a manutenção dos equipamentos (aparelho de medição de temperatura) contínuo durante 5 anos"/>
    <x v="1"/>
    <x v="0"/>
    <n v="1"/>
    <x v="2"/>
    <m/>
    <s v="As capacidades gestionárias do programa reforçadas"/>
    <n v="700"/>
    <m/>
    <m/>
    <n v="700"/>
    <n v="700"/>
    <m/>
    <m/>
    <m/>
    <m/>
    <m/>
    <m/>
  </r>
  <r>
    <n v="35"/>
    <s v="1.6.5"/>
    <s v="Aquisição de 10 motorizada para distritos) até 2018"/>
    <x v="0"/>
    <x v="0"/>
    <n v="1"/>
    <x v="3"/>
    <m/>
    <s v="As capacidades gestionárias do programa reforçadas"/>
    <n v="0"/>
    <m/>
    <m/>
    <n v="0"/>
    <n v="0"/>
    <m/>
    <m/>
    <m/>
    <m/>
    <m/>
    <m/>
  </r>
  <r>
    <n v="36"/>
    <s v="1.7"/>
    <s v="Assistência Tecnica internacional para Criar um sistema de incentivos (individuais e colectivos, financeiros e não financeiros) baseados no desempenho"/>
    <x v="2"/>
    <x v="0"/>
    <n v="1"/>
    <x v="0"/>
    <m/>
    <s v="As capacidades gestionárias do programa reforçadas"/>
    <n v="16825"/>
    <m/>
    <m/>
    <n v="16825"/>
    <m/>
    <m/>
    <m/>
    <m/>
    <m/>
    <m/>
    <n v="16825"/>
  </r>
  <r>
    <n v="37"/>
    <s v="1.8"/>
    <s v="Realizar  Supervisão de gestão de medicamentos (RAP semestralmente)"/>
    <x v="1"/>
    <x v="0"/>
    <n v="1"/>
    <x v="0"/>
    <s v="Numero de supervisões realizadas"/>
    <s v="As capacidades gestionárias do programa reforçadas"/>
    <n v="2313.6899999999996"/>
    <m/>
    <m/>
    <n v="2313.6899999999996"/>
    <n v="2313.6899999999996"/>
    <m/>
    <m/>
    <m/>
    <m/>
    <m/>
    <m/>
  </r>
  <r>
    <n v="38"/>
    <s v="1.9"/>
    <s v="Aquisição de Combustível para transporte (distribuição de medicamentos) e gerador (50 Lt por mês para Gerador) durante 5 anos"/>
    <x v="1"/>
    <x v="0"/>
    <n v="1"/>
    <x v="3"/>
    <m/>
    <s v="As capacidades gestionárias do programa reforçadas"/>
    <n v="1713.6"/>
    <m/>
    <m/>
    <n v="1713.6"/>
    <n v="1713.6"/>
    <m/>
    <m/>
    <m/>
    <m/>
    <m/>
    <m/>
  </r>
  <r>
    <n v="39"/>
    <s v="1.10"/>
    <s v="Assegurar envio de medicamentos e outros consumíveis para RAP"/>
    <x v="1"/>
    <x v="0"/>
    <n v="1"/>
    <x v="3"/>
    <m/>
    <s v="As capacidades gestionárias do programa reforçadas"/>
    <n v="400"/>
    <m/>
    <m/>
    <n v="400"/>
    <m/>
    <m/>
    <m/>
    <m/>
    <n v="400"/>
    <m/>
    <m/>
  </r>
  <r>
    <n v="40"/>
    <s v="1.11"/>
    <s v="Adquirir/adaptar base de dado para gestão de stok dos medicamentos (FNM)"/>
    <x v="1"/>
    <x v="0"/>
    <n v="1"/>
    <x v="3"/>
    <m/>
    <s v="As capacidades gestionárias do programa reforçadas"/>
    <n v="16084"/>
    <m/>
    <m/>
    <n v="16084"/>
    <n v="16084"/>
    <m/>
    <m/>
    <m/>
    <m/>
    <m/>
    <m/>
  </r>
  <r>
    <n v="41"/>
    <s v="1.12"/>
    <s v="Formação em utilização do softwer para gestão de stok dos medicamentos (FNM)"/>
    <x v="1"/>
    <x v="0"/>
    <n v="1"/>
    <x v="3"/>
    <m/>
    <s v="As capacidades gestionárias do programa reforçadas"/>
    <n v="5748.5"/>
    <m/>
    <m/>
    <n v="5748.5"/>
    <n v="5748.5"/>
    <m/>
    <m/>
    <m/>
    <m/>
    <m/>
    <m/>
  </r>
  <r>
    <n v="42"/>
    <s v="1.13"/>
    <s v="Formar 15 técnicos na instalação de uma base de dados (SPSS) da TB, 1 sessão de 5 dias."/>
    <x v="2"/>
    <x v="0"/>
    <n v="1"/>
    <x v="0"/>
    <m/>
    <s v="As capacidades gestionárias do programa reforçadas"/>
    <n v="4411.3900000000003"/>
    <m/>
    <m/>
    <n v="4411.3900000000003"/>
    <m/>
    <m/>
    <m/>
    <m/>
    <m/>
    <m/>
    <n v="4411.3900000000003"/>
  </r>
  <r>
    <n v="43"/>
    <s v="2.1"/>
    <s v="Recrutar e afectar 1 técnico de Seguimento e Avaliação do PNLT"/>
    <x v="1"/>
    <x v="1"/>
    <n v="2"/>
    <x v="1"/>
    <s v="Técnico recrutado"/>
    <s v="Sistema de seguimento e avaliação do Programa fortalecido"/>
    <m/>
    <m/>
    <m/>
    <n v="0"/>
    <n v="0"/>
    <m/>
    <m/>
    <m/>
    <m/>
    <m/>
    <m/>
  </r>
  <r>
    <n v="44"/>
    <s v="2.2"/>
    <s v="Organizar atelier de 5 dias para actualizar e validação o plano de seguimento e avaliação e instrumento de colheita dos dados"/>
    <x v="1"/>
    <x v="1"/>
    <n v="2"/>
    <x v="1"/>
    <s v="Plano S&amp;A actualizado e disponivel"/>
    <s v="Sistema de seguimento e avaliação do Programa fortalecido"/>
    <n v="0"/>
    <m/>
    <m/>
    <n v="0"/>
    <n v="0"/>
    <m/>
    <m/>
    <m/>
    <m/>
    <m/>
    <m/>
  </r>
  <r>
    <n v="45"/>
    <s v="2.2.1"/>
    <s v="Organizar um atelier de 5 jours para avaliação do cumprimento do plano de seguimento e avaliação"/>
    <x v="1"/>
    <x v="1"/>
    <n v="2"/>
    <x v="1"/>
    <m/>
    <s v="Sistema de seguimento e avaliação do Programa fortalecido"/>
    <m/>
    <m/>
    <m/>
    <n v="0"/>
    <n v="0"/>
    <m/>
    <m/>
    <m/>
    <m/>
    <m/>
    <m/>
  </r>
  <r>
    <n v="46"/>
    <s v="2.3"/>
    <s v="Implementar o plano de seguimento e avaliação"/>
    <x v="1"/>
    <x v="1"/>
    <n v="2"/>
    <x v="1"/>
    <m/>
    <s v="Sistema de seguimento e avaliação do Programa fortalecido"/>
    <n v="0"/>
    <m/>
    <m/>
    <n v="0"/>
    <n v="0"/>
    <n v="0"/>
    <n v="0"/>
    <n v="0"/>
    <n v="0"/>
    <m/>
    <n v="0"/>
  </r>
  <r>
    <n v="47"/>
    <s v="2.4"/>
    <s v="Implementar o sistema de registo electrónico de dados TB "/>
    <x v="0"/>
    <x v="1"/>
    <n v="2"/>
    <x v="1"/>
    <s v="Sistema de registro electrónico funcional"/>
    <s v="Sistema de seguimento e avaliação do Programa fortalecido"/>
    <n v="0"/>
    <m/>
    <m/>
    <n v="0"/>
    <m/>
    <m/>
    <n v="0"/>
    <m/>
    <m/>
    <m/>
    <m/>
  </r>
  <r>
    <n v="48"/>
    <s v="2.5"/>
    <s v="Produção e difusão de relatórios trimestrais "/>
    <x v="2"/>
    <x v="1"/>
    <n v="2"/>
    <x v="1"/>
    <s v="relatorios produzidos e difundidos"/>
    <s v="Sistema de seguimento e avaliação do Programa fortalecido"/>
    <n v="1593.33"/>
    <m/>
    <m/>
    <n v="1593.33"/>
    <n v="1593.33"/>
    <m/>
    <m/>
    <m/>
    <m/>
    <m/>
    <m/>
  </r>
  <r>
    <n v="49"/>
    <s v="2.6"/>
    <s v="Organizar a avaliação (interna e externa) do plano estratégico  "/>
    <x v="1"/>
    <x v="1"/>
    <n v="2"/>
    <x v="1"/>
    <s v="Relatorio da avaliação disponível)"/>
    <s v="Sistema de seguimento e avaliação do Programa fortalecido"/>
    <m/>
    <m/>
    <m/>
    <n v="0"/>
    <n v="0"/>
    <m/>
    <m/>
    <m/>
    <m/>
    <m/>
    <m/>
  </r>
  <r>
    <n v="50"/>
    <s v="2.7"/>
    <s v="Atelie de 5 dias com 10 técnicos estatísticos para preenchimento das fichas e livro de registo"/>
    <x v="2"/>
    <x v="1"/>
    <n v="2"/>
    <x v="1"/>
    <s v="Relatorio do atiliê"/>
    <s v="Sistema de seguimento e avaliação do Programa fortalecido"/>
    <n v="3141.11"/>
    <m/>
    <m/>
    <n v="3141.11"/>
    <n v="3141.11"/>
    <m/>
    <m/>
    <m/>
    <m/>
    <m/>
    <m/>
  </r>
  <r>
    <n v="51"/>
    <s v="2.8"/>
    <s v="Organizar encontro para restituição dos dados"/>
    <x v="2"/>
    <x v="1"/>
    <n v="2"/>
    <x v="1"/>
    <s v="Dados restituidos"/>
    <s v="Sistema de seguimento e avaliação do Programa fortalecido"/>
    <n v="374.67"/>
    <m/>
    <m/>
    <n v="374.67"/>
    <n v="374.67"/>
    <m/>
    <m/>
    <m/>
    <m/>
    <m/>
    <m/>
  </r>
  <r>
    <n v="52"/>
    <s v="3.1"/>
    <s v="Elaborar e reproduzir Kit de Comunicação com mensagens chaves de TB (folhetos, cartazes, bandeirolas, painel gigante e álbum seriado)(colocar antes das palestras)"/>
    <x v="1"/>
    <x v="2"/>
    <n v="3"/>
    <x v="4"/>
    <s v="Número de KIT elaborados e disponíveis"/>
    <s v="Conhecimento da população sobre a TB melhorado"/>
    <n v="3722.2200000000003"/>
    <m/>
    <m/>
    <n v="3722.2200000000003"/>
    <n v="3722.2200000000003"/>
    <m/>
    <m/>
    <m/>
    <m/>
    <m/>
    <m/>
  </r>
  <r>
    <n v="53"/>
    <s v="3.2"/>
    <s v="Elaborar/adaptar e difundir Spot televisivo e radiofónico"/>
    <x v="1"/>
    <x v="2"/>
    <n v="3"/>
    <x v="4"/>
    <s v="Numero de SPOT elaborados e difundidos"/>
    <s v="Conhecimento da população sobre a TB melhorado"/>
    <n v="3722.2200000000003"/>
    <m/>
    <m/>
    <n v="3722.2200000000003"/>
    <n v="3722.2200000000003"/>
    <m/>
    <m/>
    <m/>
    <m/>
    <m/>
    <m/>
  </r>
  <r>
    <n v="54"/>
    <s v="3.3"/>
    <s v="Realizar um Inquérito CAP"/>
    <x v="0"/>
    <x v="1"/>
    <n v="2"/>
    <x v="5"/>
    <s v="Relatorio de CAP disponível"/>
    <s v="Conhecimento da população sobre a TB melhorado"/>
    <m/>
    <m/>
    <m/>
    <n v="0"/>
    <n v="0"/>
    <m/>
    <m/>
    <m/>
    <m/>
    <m/>
    <m/>
  </r>
  <r>
    <s v="54.1"/>
    <s v="3.3.1"/>
    <s v="Realizar um Estudo sobre a mortalidade por TB"/>
    <x v="1"/>
    <x v="1"/>
    <n v="2"/>
    <x v="5"/>
    <m/>
    <m/>
    <n v="11000"/>
    <m/>
    <m/>
    <n v="11000"/>
    <n v="11000"/>
    <m/>
    <m/>
    <m/>
    <m/>
    <m/>
    <m/>
  </r>
  <r>
    <n v="54.2"/>
    <s v="3.3.2"/>
    <s v="Realizar um Estudo sobre a Co-infecção TB/VIH"/>
    <x v="1"/>
    <x v="1"/>
    <n v="2"/>
    <x v="5"/>
    <m/>
    <m/>
    <m/>
    <m/>
    <m/>
    <n v="0"/>
    <n v="0"/>
    <m/>
    <m/>
    <m/>
    <m/>
    <m/>
    <m/>
  </r>
  <r>
    <n v="55"/>
    <s v="3.4"/>
    <s v="Organizar sessões de advocacia junto aos decisores políticos e parceiros."/>
    <x v="0"/>
    <x v="0"/>
    <n v="1"/>
    <x v="0"/>
    <s v=" Numero Decisores e parceiros colaborando nas actividades de luta contra a tuberculose"/>
    <s v="Conhecimento da população sobre a TB melhorado"/>
    <n v="92.829999999999984"/>
    <m/>
    <m/>
    <n v="92.829999999999984"/>
    <m/>
    <m/>
    <m/>
    <m/>
    <n v="92.829999999999984"/>
    <m/>
    <m/>
  </r>
  <r>
    <n v="56"/>
    <s v="3.5"/>
    <s v="Formar (100) ASC e activistas (em gestão das actividades comunitária/sensibilização sobre TB)."/>
    <x v="1"/>
    <x v="2"/>
    <n v="3"/>
    <x v="6"/>
    <s v="Numero de pessoal formados"/>
    <s v="Conhecimento da população sobre a TB melhorado"/>
    <n v="0"/>
    <m/>
    <m/>
    <n v="0"/>
    <n v="0"/>
    <m/>
    <m/>
    <m/>
    <m/>
    <m/>
    <m/>
  </r>
  <r>
    <n v="57"/>
    <s v="3.5.1"/>
    <s v="Reciclar (100) ASC e activistas (em gestão das actividades comunitária/sensibilização sobre TB)."/>
    <x v="0"/>
    <x v="2"/>
    <n v="3"/>
    <x v="6"/>
    <m/>
    <s v="Conhecimento da população sobre a TB melhorado"/>
    <n v="19562.87"/>
    <m/>
    <m/>
    <n v="19562.87"/>
    <m/>
    <m/>
    <m/>
    <m/>
    <m/>
    <m/>
    <n v="19562.87"/>
  </r>
  <r>
    <n v="58"/>
    <s v="3.6"/>
    <s v="Realizar palestras de sensibilização ( na escola, igrejas, prisão, quartel militar, Jornalistas e nas comunidades)"/>
    <x v="1"/>
    <x v="2"/>
    <n v="3"/>
    <x v="4"/>
    <s v="Numero de palestras realizadas"/>
    <s v="Conhecimento da população sobre a TB melhorado"/>
    <n v="18499.990000000002"/>
    <m/>
    <m/>
    <n v="18499.990000000002"/>
    <n v="18499.990000000002"/>
    <m/>
    <m/>
    <m/>
    <m/>
    <m/>
    <m/>
  </r>
  <r>
    <n v="59"/>
    <s v="3.7"/>
    <s v="Organização do dia Mundial de Luta contra TB"/>
    <x v="0"/>
    <x v="2"/>
    <n v="3"/>
    <x v="4"/>
    <s v="Relatório disponível"/>
    <s v="Conhecimento da população sobre a TB melhorado"/>
    <n v="11333.33"/>
    <m/>
    <m/>
    <n v="11333.33"/>
    <n v="11333.33"/>
    <m/>
    <m/>
    <m/>
    <m/>
    <m/>
    <m/>
  </r>
  <r>
    <n v="60"/>
    <s v="3.8"/>
    <s v="Formar 30 Jornalistas (rádio, televisão, jornal), 3 dias, Ano 1 "/>
    <x v="0"/>
    <x v="2"/>
    <n v="3"/>
    <x v="4"/>
    <m/>
    <s v="Conhecimento da população sobre a TB melhorado"/>
    <n v="0"/>
    <m/>
    <m/>
    <n v="0"/>
    <n v="0"/>
    <m/>
    <m/>
    <m/>
    <m/>
    <m/>
    <m/>
  </r>
  <r>
    <n v="61"/>
    <s v="3.9"/>
    <s v="Reciclar 30 Jornalistas (rádio, televisão, jornal), 3 dias, Ano 2"/>
    <x v="0"/>
    <x v="2"/>
    <n v="3"/>
    <x v="4"/>
    <m/>
    <s v="Conhecimento da população sobre a TB melhorado"/>
    <m/>
    <m/>
    <m/>
    <n v="0"/>
    <m/>
    <m/>
    <m/>
    <m/>
    <m/>
    <m/>
    <n v="0"/>
  </r>
  <r>
    <n v="62"/>
    <s v="4.1"/>
    <s v="Rehabilitar/adaptação de 6 laboratórios  "/>
    <x v="2"/>
    <x v="2"/>
    <n v="3"/>
    <x v="7"/>
    <s v="Numero de laboratórios reabilitados/adapatados"/>
    <s v="Casos de tuberculose diagnosticados"/>
    <n v="4500"/>
    <m/>
    <m/>
    <n v="4500"/>
    <n v="4500"/>
    <m/>
    <m/>
    <m/>
    <m/>
    <m/>
    <m/>
  </r>
  <r>
    <n v="63"/>
    <s v="4.2"/>
    <s v="Equipar os laboratórios( microscópios, bico de busen...)"/>
    <x v="1"/>
    <x v="2"/>
    <n v="3"/>
    <x v="7"/>
    <s v="Numero de laboratorios equipados"/>
    <s v="Casos de tuberculose diagnosticados"/>
    <n v="13953"/>
    <m/>
    <m/>
    <n v="13953"/>
    <n v="13953"/>
    <m/>
    <m/>
    <m/>
    <m/>
    <m/>
    <m/>
  </r>
  <r>
    <n v="64"/>
    <s v="4.3"/>
    <s v="Aprovisionar as estruturas em consumíveis de laboratório (laminas, luvas, embaços, reagentes, mala térmica, palitos…) "/>
    <x v="1"/>
    <x v="2"/>
    <n v="3"/>
    <x v="7"/>
    <s v="Numero de dias de rutura de Stoks"/>
    <s v="Casos de tuberculose diagnosticados"/>
    <n v="18372"/>
    <m/>
    <m/>
    <n v="18372"/>
    <n v="18372"/>
    <m/>
    <m/>
    <m/>
    <m/>
    <m/>
    <m/>
  </r>
  <r>
    <n v="65"/>
    <s v="4.4.1"/>
    <s v="Assegurar o controlo de qualidade externo supranacional"/>
    <x v="1"/>
    <x v="2"/>
    <n v="3"/>
    <x v="7"/>
    <s v="Numero de laboaratorio que interveem no controlo de qualidade"/>
    <s v="Casos de tuberculose diagnosticados"/>
    <n v="5701.36"/>
    <m/>
    <m/>
    <n v="5701.36"/>
    <n v="5701.36"/>
    <m/>
    <m/>
    <m/>
    <m/>
    <m/>
    <m/>
  </r>
  <r>
    <n v="66"/>
    <s v="4.4.1.1"/>
    <s v="Assistencia Técnica parao o controlo de qualidade externo supranacional"/>
    <x v="1"/>
    <x v="2"/>
    <n v="3"/>
    <x v="7"/>
    <m/>
    <s v="Casos de tuberculose diagnosticados"/>
    <n v="7701.97"/>
    <m/>
    <m/>
    <n v="7701.97"/>
    <n v="7701.97"/>
    <m/>
    <m/>
    <m/>
    <m/>
    <m/>
    <m/>
  </r>
  <r>
    <n v="67"/>
    <s v="4.4.2"/>
    <s v="Realizar controlo de qualidade das lâminas no laboratório nacional de referência, trimestralmente durante 5 anos"/>
    <x v="1"/>
    <x v="2"/>
    <n v="3"/>
    <x v="7"/>
    <s v="Numero de laboaratorio que interveem no controlo de qualidade "/>
    <s v="Casos de tuberculose diagnosticados"/>
    <n v="7592.33"/>
    <m/>
    <m/>
    <n v="7592.33"/>
    <n v="7592.33"/>
    <m/>
    <m/>
    <m/>
    <m/>
    <m/>
    <m/>
  </r>
  <r>
    <n v="68"/>
    <s v="4.7.1"/>
    <s v="Formar 25 Técnicos de Laboratórios (14 CDT, Incluindo 2 RAP, 6 HAM e 3 LNR) realização de Baciloscopia e controlo de qualidade (CQ) (1 sessão de 5 dias no Ano 1)"/>
    <x v="0"/>
    <x v="2"/>
    <n v="3"/>
    <x v="7"/>
    <s v="Nº de técnicos de laboratório formados"/>
    <s v="Casos de tuberculose diagnosticados"/>
    <n v="7622.22"/>
    <m/>
    <m/>
    <n v="7622.22"/>
    <m/>
    <m/>
    <m/>
    <m/>
    <m/>
    <m/>
    <n v="7622.22"/>
  </r>
  <r>
    <n v="69"/>
    <s v="4.7.2"/>
    <s v="Reciclar 25 Técnicos de Laboratórios (14 CDT, Incluindo 2 RAP, 6 HAM E 3 LNR) realização de Baciloscopia e controlo de qualidade (CQ) (1 sessão de 5 dias no Ano 3)"/>
    <x v="0"/>
    <x v="2"/>
    <n v="3"/>
    <x v="7"/>
    <s v="Nº de técnicos de laboratório formados"/>
    <s v="Casos de tuberculose diagnosticados"/>
    <n v="7622.22"/>
    <m/>
    <m/>
    <n v="7622.22"/>
    <m/>
    <m/>
    <m/>
    <m/>
    <m/>
    <m/>
    <n v="7622.22"/>
  </r>
  <r>
    <n v="70"/>
    <s v="4.8"/>
    <s v="Implementar o APSR (directrizes nacionais de APSR, guia de gestão de casos: de contactos e SR)"/>
    <x v="1"/>
    <x v="2"/>
    <n v="3"/>
    <x v="7"/>
    <s v="Diretrizes de APSR disponível"/>
    <s v="Casos de tuberculose diagnosticados"/>
    <n v="0"/>
    <m/>
    <m/>
    <n v="0"/>
    <n v="0"/>
    <m/>
    <m/>
    <m/>
    <m/>
    <m/>
    <m/>
  </r>
  <r>
    <n v="71"/>
    <s v="4.8.1"/>
    <s v="Financiamento das RX dos suspeitos e 325 pacientes TB "/>
    <x v="0"/>
    <x v="2"/>
    <n v="3"/>
    <x v="7"/>
    <s v="Diretrizes de APSR disponível"/>
    <s v="Casos de tuberculose diagnosticados"/>
    <n v="2708.33"/>
    <m/>
    <m/>
    <n v="2708.33"/>
    <m/>
    <m/>
    <m/>
    <m/>
    <n v="2708.33"/>
    <m/>
    <m/>
  </r>
  <r>
    <n v="72"/>
    <s v="4.9"/>
    <s v="1.9.Organizar visitas domiciliares em busca de contactos dos casos positivos, perdidos de vista."/>
    <x v="1"/>
    <x v="2"/>
    <n v="3"/>
    <x v="7"/>
    <s v="Numero de conctatos notificados e seguidos"/>
    <s v="Casos de tuberculose diagnosticados"/>
    <n v="7140"/>
    <m/>
    <m/>
    <n v="7140"/>
    <m/>
    <m/>
    <m/>
    <m/>
    <m/>
    <m/>
    <n v="7140"/>
  </r>
  <r>
    <n v="73"/>
    <s v="4.10.1"/>
    <s v="Formar 15 formadores sobre Sintomáticos Respiratórios, 1 sessão de 5 dias no Ano 1 "/>
    <x v="0"/>
    <x v="2"/>
    <n v="3"/>
    <x v="7"/>
    <s v="Numero de pretadores de cuidados de saude capacitados"/>
    <s v="Casos de tuberculose diagnosticados"/>
    <n v="0"/>
    <m/>
    <m/>
    <n v="0"/>
    <m/>
    <m/>
    <m/>
    <m/>
    <m/>
    <m/>
    <n v="0"/>
  </r>
  <r>
    <n v="74"/>
    <s v="4.10.2"/>
    <s v="Formar 100 tecnicos de saude sobre Sintomáticos Respiratórios, 4 sessão de 5 dias no Ano 1 "/>
    <x v="0"/>
    <x v="2"/>
    <n v="3"/>
    <x v="7"/>
    <s v="Numero de pretadores de cuidados de saude capacitados"/>
    <s v="Casos de tuberculose diagnosticados"/>
    <n v="20725.560000000001"/>
    <m/>
    <m/>
    <n v="20725.560000000001"/>
    <n v="20725.560000000001"/>
    <m/>
    <m/>
    <m/>
    <m/>
    <m/>
    <m/>
  </r>
  <r>
    <n v="75"/>
    <s v="4.10.3"/>
    <s v="Reciclar 100 tecnicos de saude sobre Sintomáticos Respiratórios, 4 sessão de 5 dias no Ano 2"/>
    <x v="0"/>
    <x v="2"/>
    <n v="3"/>
    <x v="7"/>
    <m/>
    <s v="Casos de tuberculose diagnosticados"/>
    <n v="0"/>
    <m/>
    <m/>
    <n v="0"/>
    <n v="0"/>
    <m/>
    <m/>
    <m/>
    <m/>
    <m/>
    <m/>
  </r>
  <r>
    <n v="76"/>
    <s v="4.11"/>
    <s v="1.12.Supervisionar trimestralmente os CDT "/>
    <x v="1"/>
    <x v="2"/>
    <n v="3"/>
    <x v="7"/>
    <s v="Numero de pretadores de cuidados de saude capacitados"/>
    <s v="Casos de tuberculose diagnosticados"/>
    <n v="3788.65"/>
    <m/>
    <m/>
    <n v="3788.65"/>
    <n v="3788.65"/>
    <m/>
    <m/>
    <m/>
    <m/>
    <m/>
    <m/>
  </r>
  <r>
    <n v="77"/>
    <s v="4.12"/>
    <s v="Aquisição de combustível para os distritos no apoio ao DOT ao nível comunitário"/>
    <x v="1"/>
    <x v="2"/>
    <n v="3"/>
    <x v="7"/>
    <m/>
    <s v="Casos de tuberculose diagnosticados"/>
    <n v="3070.2"/>
    <m/>
    <m/>
    <n v="3070.2"/>
    <n v="3070.2"/>
    <m/>
    <m/>
    <m/>
    <m/>
    <m/>
    <m/>
  </r>
  <r>
    <n v="78"/>
    <s v="4.13"/>
    <s v="Adquirir um microscopio de LED"/>
    <x v="1"/>
    <x v="2"/>
    <n v="3"/>
    <x v="7"/>
    <m/>
    <s v="Casos de tuberculose diagnosticados"/>
    <n v="5000"/>
    <m/>
    <m/>
    <n v="5000"/>
    <n v="5000"/>
    <m/>
    <m/>
    <m/>
    <m/>
    <m/>
    <m/>
  </r>
  <r>
    <n v="79"/>
    <s v="5.1"/>
    <s v="Revisão  e impressão (do guia de manejo de caso de TB, modulos de formação)"/>
    <x v="1"/>
    <x v="2"/>
    <n v="3"/>
    <x v="8"/>
    <s v="Numero de documentos impressos"/>
    <s v="100% de casos detectados tratados"/>
    <n v="0"/>
    <m/>
    <m/>
    <n v="0"/>
    <n v="0"/>
    <m/>
    <m/>
    <m/>
    <m/>
    <m/>
    <m/>
  </r>
  <r>
    <n v="80"/>
    <s v="5.2"/>
    <s v="Assegurar o aprovisionamento em antituberculosos de 1º linha (pacote)"/>
    <x v="1"/>
    <x v="2"/>
    <n v="3"/>
    <x v="8"/>
    <s v="Numero de dias de ruptura"/>
    <s v="100% de casos detectados tratados"/>
    <n v="8050"/>
    <m/>
    <m/>
    <n v="8050"/>
    <m/>
    <m/>
    <m/>
    <n v="8050"/>
    <m/>
    <m/>
    <m/>
  </r>
  <r>
    <n v="81"/>
    <s v="5.2.1"/>
    <s v="Adquirir medicamentos para retratamento de 53 doentes durante 5 Anos"/>
    <x v="1"/>
    <x v="2"/>
    <n v="3"/>
    <x v="8"/>
    <m/>
    <s v="100% de casos detectados tratados"/>
    <n v="1280"/>
    <m/>
    <m/>
    <n v="1280"/>
    <m/>
    <m/>
    <m/>
    <n v="1280"/>
    <m/>
    <m/>
    <m/>
  </r>
  <r>
    <n v="82"/>
    <s v="5.2.2"/>
    <s v="Adquirir medicamentos de primeira linha para tratar um total de 19 crianças durante 5 Anos"/>
    <x v="1"/>
    <x v="2"/>
    <n v="3"/>
    <x v="8"/>
    <m/>
    <s v="100% de casos detectados tratados"/>
    <n v="132"/>
    <m/>
    <m/>
    <n v="132"/>
    <m/>
    <m/>
    <m/>
    <n v="132"/>
    <m/>
    <m/>
    <m/>
  </r>
  <r>
    <n v="83"/>
    <s v="5.3"/>
    <s v="Assegurar o controlo de qualidade nacional (CQ) dos medicamentos nos postos de distribuição (laboratório a ser identificado)"/>
    <x v="1"/>
    <x v="2"/>
    <n v="3"/>
    <x v="8"/>
    <s v="Numero de relatório de CQ"/>
    <s v="100% de casos detectados tratados"/>
    <n v="1783.86"/>
    <m/>
    <m/>
    <n v="1783.86"/>
    <n v="1783.86"/>
    <m/>
    <m/>
    <m/>
    <m/>
    <m/>
    <m/>
  </r>
  <r>
    <n v="84"/>
    <s v="5.4"/>
    <s v="Formar 24 supervisores (supervisão integrada), uma secção de 5 dias."/>
    <x v="0"/>
    <x v="1"/>
    <n v="2"/>
    <x v="1"/>
    <s v="Numero de supervisosres formados"/>
    <s v="100% de casos detectados tratados"/>
    <n v="3182.41"/>
    <m/>
    <m/>
    <n v="3182.41"/>
    <m/>
    <m/>
    <m/>
    <m/>
    <m/>
    <m/>
    <n v="3182.41"/>
  </r>
  <r>
    <n v="85"/>
    <s v="5.5"/>
    <s v="Supervisionar os prestadores de cuidados de saúde"/>
    <x v="1"/>
    <x v="1"/>
    <n v="2"/>
    <x v="1"/>
    <s v="Numero de visitas de supervisão "/>
    <s v="100% de casos detectados tratados"/>
    <n v="3182.41"/>
    <m/>
    <m/>
    <n v="3182.41"/>
    <n v="3182.41"/>
    <m/>
    <m/>
    <m/>
    <m/>
    <m/>
    <m/>
  </r>
  <r>
    <n v="86"/>
    <s v="5.6"/>
    <s v="Assegurar a aplicação do tratamento directamente observado"/>
    <x v="1"/>
    <x v="2"/>
    <n v="3"/>
    <x v="8"/>
    <s v="Percentagem de estruturas que aplicam TODO"/>
    <s v="100% de casos detectados tratados"/>
    <n v="3070.2"/>
    <m/>
    <m/>
    <n v="3070.2"/>
    <n v="3070.2"/>
    <m/>
    <m/>
    <m/>
    <m/>
    <m/>
    <m/>
  </r>
  <r>
    <n v="87"/>
    <s v="5.7.1"/>
    <s v=" Formar 50 Activistas de ONG, Associações Locais e (10) Socoristas para sensibilização das comunidades sobre TB  (TB/HIV; TB/MR)- (5 Dias, em 2 sessões de 20 pessoas em ST e uma sessão de 10 pessoas na RAP, Ano 1)"/>
    <x v="2"/>
    <x v="2"/>
    <n v="3"/>
    <x v="6"/>
    <m/>
    <s v="100% de casos detectados tratados"/>
    <n v="11856.72"/>
    <m/>
    <m/>
    <n v="11856.72"/>
    <n v="11856.72"/>
    <m/>
    <m/>
    <m/>
    <m/>
    <m/>
    <m/>
  </r>
  <r>
    <n v="88"/>
    <s v="5.7.2"/>
    <s v=" Reciclar 50 Activistas de ONG, Associações Locais e (10) Socoristas para sensibilização das comunidades sobre TB  (TB/HIV; TB/MR)- (5 Dias, em 2 sessões de 20 pessoas em ST e uma sessão de 10 pessoas na RAP, ano 3)"/>
    <x v="2"/>
    <x v="2"/>
    <n v="3"/>
    <x v="6"/>
    <m/>
    <s v="100% de casos detectados tratados"/>
    <m/>
    <m/>
    <m/>
    <n v="0"/>
    <m/>
    <m/>
    <m/>
    <m/>
    <m/>
    <m/>
    <n v="0"/>
  </r>
  <r>
    <n v="89"/>
    <s v="5.8"/>
    <s v="Apoio nutricional e Psico-social à 150 pacientes, durante 5 anos"/>
    <x v="0"/>
    <x v="2"/>
    <n v="3"/>
    <x v="8"/>
    <m/>
    <s v="100% de casos detectados tratados"/>
    <n v="3000"/>
    <m/>
    <m/>
    <n v="3000"/>
    <m/>
    <m/>
    <m/>
    <m/>
    <m/>
    <m/>
    <n v="3000"/>
  </r>
  <r>
    <n v="90"/>
    <s v="5.9"/>
    <s v="Formar e reciclar Médicos em manejo dos casos e estratégia Stop TB, co-infecção TB/HIV (5 Dias, 40 participantes) 20 participantes no ano 1 e 20 no ano 3"/>
    <x v="1"/>
    <x v="2"/>
    <n v="3"/>
    <x v="8"/>
    <m/>
    <s v="100% de casos detectados tratados"/>
    <m/>
    <m/>
    <m/>
    <n v="0"/>
    <m/>
    <m/>
    <m/>
    <m/>
    <m/>
    <m/>
    <n v="0"/>
  </r>
  <r>
    <n v="91"/>
    <s v="5.10"/>
    <s v=" Formar 100 enfermeiros em manejo dos casos e estratégia Stop TB, co-infecção TB/HIV e  (2 sessões por ano de 5 Dias 50 no ano 1 e 50 no ano 3), Sendo 80 ST+20 RAP"/>
    <x v="1"/>
    <x v="2"/>
    <n v="3"/>
    <x v="8"/>
    <m/>
    <s v="100% de casos detectados tratados"/>
    <m/>
    <m/>
    <m/>
    <n v="0"/>
    <m/>
    <m/>
    <m/>
    <m/>
    <m/>
    <m/>
    <n v="0"/>
  </r>
  <r>
    <n v="92"/>
    <s v="5.11"/>
    <s v="Gestão dos efeitos secundários "/>
    <x v="1"/>
    <x v="2"/>
    <n v="3"/>
    <x v="8"/>
    <m/>
    <s v="100% de casos detectados tratados"/>
    <n v="2500"/>
    <m/>
    <m/>
    <n v="2500"/>
    <m/>
    <m/>
    <m/>
    <m/>
    <n v="2500"/>
    <m/>
    <m/>
  </r>
  <r>
    <n v="93"/>
    <s v="6.1"/>
    <s v="Implementar o órgão de coordenação central e distrital das actividades de colaboração TB/HIV "/>
    <x v="1"/>
    <x v="3"/>
    <n v="4"/>
    <x v="9"/>
    <s v="Realização de uma reunião anual"/>
    <s v="prestação de serv. Integ. TB/HIV"/>
    <n v="0"/>
    <m/>
    <m/>
    <n v="0"/>
    <n v="0"/>
    <n v="0"/>
    <n v="0"/>
    <n v="0"/>
    <n v="0"/>
    <m/>
    <n v="0"/>
  </r>
  <r>
    <n v="94"/>
    <s v="6.2"/>
    <s v="Elaborar um Guia Nacional de Co-infeccção"/>
    <x v="1"/>
    <x v="3"/>
    <n v="4"/>
    <x v="9"/>
    <s v=" Guia nacional de coinfecção disponível"/>
    <s v="prestação de serv. Integ. TB/HIV"/>
    <n v="0"/>
    <m/>
    <m/>
    <n v="0"/>
    <m/>
    <m/>
    <m/>
    <m/>
    <m/>
    <m/>
    <n v="0"/>
  </r>
  <r>
    <n v="95"/>
    <s v="6.3"/>
    <s v="Colaborar na Integração dos instrumentos de registos e de reportagem de PNLS  para seguir as actividades  de 3 Is."/>
    <x v="1"/>
    <x v="3"/>
    <n v="4"/>
    <x v="9"/>
    <s v="Iinstrumentos de registos e de reportagem das actividades adaptados e disponíveis"/>
    <s v="prestação de serv. Integ. TB/HIV"/>
    <n v="0"/>
    <m/>
    <m/>
    <n v="0"/>
    <n v="0"/>
    <n v="0"/>
    <n v="0"/>
    <n v="0"/>
    <n v="0"/>
    <m/>
    <n v="0"/>
  </r>
  <r>
    <n v="96"/>
    <s v="6.4"/>
    <s v="Organizar reuniões de planificação e seguimento das actividades trimestralmente"/>
    <x v="1"/>
    <x v="3"/>
    <n v="4"/>
    <x v="9"/>
    <s v="Nº de reuniões realizadas"/>
    <s v="prestação de serv. Integ. TB/HIV"/>
    <n v="366.67"/>
    <m/>
    <m/>
    <n v="366.67"/>
    <n v="366.67"/>
    <m/>
    <m/>
    <m/>
    <m/>
    <m/>
    <m/>
  </r>
  <r>
    <n v="97"/>
    <s v="6.5"/>
    <s v="Aprovisionar as unidades sanitárias com a isoniazida aos pacientes de HIV elegíveis (4.771 pacientes previsto nos 5 anos)"/>
    <x v="1"/>
    <x v="3"/>
    <n v="4"/>
    <x v="10"/>
    <s v="Nº de Isoniasida destribuidos"/>
    <s v="prestação de serv. Integ. TB/HIV"/>
    <n v="951"/>
    <m/>
    <m/>
    <n v="951"/>
    <m/>
    <m/>
    <m/>
    <m/>
    <n v="951"/>
    <m/>
    <m/>
  </r>
  <r>
    <n v="98"/>
    <s v="6.6"/>
    <s v="Assegurar a despistagem da TB (teste PPD)"/>
    <x v="1"/>
    <x v="3"/>
    <n v="4"/>
    <x v="10"/>
    <s v="numero e percentagem de PVHVI testados"/>
    <s v="prestação de serv. Integ. TB/HIV"/>
    <n v="1262.48"/>
    <m/>
    <m/>
    <n v="1262.48"/>
    <m/>
    <m/>
    <m/>
    <m/>
    <m/>
    <m/>
    <n v="1262.48"/>
  </r>
  <r>
    <n v="99"/>
    <s v="6.8"/>
    <s v="Reforçar o aconselhamento da prevenção do VIH nos doentes TB"/>
    <x v="1"/>
    <x v="3"/>
    <n v="4"/>
    <x v="9"/>
    <m/>
    <s v="prestação de serv. Integ. TB/HIV"/>
    <n v="0"/>
    <m/>
    <m/>
    <n v="0"/>
    <m/>
    <m/>
    <m/>
    <m/>
    <m/>
    <m/>
    <n v="0"/>
  </r>
  <r>
    <n v="100"/>
    <s v="6.9"/>
    <s v="Reforçar as capacidades dos prestadores de cuidados de saúde em TB/HIV (Médicos, 100 enfermeiros,"/>
    <x v="1"/>
    <x v="3"/>
    <n v="4"/>
    <x v="9"/>
    <s v="Nº de médicos formados em TB/HIV"/>
    <s v="prestação de serv. Integ. TB/HIV"/>
    <n v="0"/>
    <m/>
    <m/>
    <n v="0"/>
    <m/>
    <m/>
    <m/>
    <m/>
    <m/>
    <m/>
    <n v="0"/>
  </r>
  <r>
    <n v="101"/>
    <s v="6.10"/>
    <s v="Determinar a prevalência d de TB nas pessoas que vivem com VIH "/>
    <x v="1"/>
    <x v="3"/>
    <n v="4"/>
    <x v="10"/>
    <s v="Prevalência de TB nas pessoas que vivem com HIV"/>
    <s v="prestação de serv. Integ. TB/HIV"/>
    <n v="2621.6928999999996"/>
    <m/>
    <m/>
    <n v="2621.6928999999996"/>
    <m/>
    <m/>
    <m/>
    <m/>
    <n v="2621.6928999999996"/>
    <m/>
    <m/>
  </r>
  <r>
    <n v="102"/>
    <s v="6.11"/>
    <s v="Determinar VIH nos pacientes com TB através dos postos sentinelas"/>
    <x v="1"/>
    <x v="3"/>
    <n v="4"/>
    <x v="10"/>
    <s v="Prevalência de VIH nos pacientes TB"/>
    <s v="prestação de serv. Integ. TB/HIV"/>
    <n v="0"/>
    <m/>
    <m/>
    <n v="0"/>
    <n v="0"/>
    <n v="0"/>
    <n v="0"/>
    <n v="0"/>
    <n v="0"/>
    <m/>
    <n v="0"/>
  </r>
  <r>
    <n v="103"/>
    <s v="6.12"/>
    <s v="Formar 15 formadores em TB/HIV, 1 secção de 5 dias no Ano 2"/>
    <x v="1"/>
    <x v="3"/>
    <n v="4"/>
    <x v="9"/>
    <m/>
    <s v="prestação de serv. Integ. TB/HIV"/>
    <n v="0"/>
    <m/>
    <m/>
    <n v="0"/>
    <n v="0"/>
    <m/>
    <m/>
    <m/>
    <m/>
    <m/>
    <m/>
  </r>
  <r>
    <n v="104"/>
    <s v="6.13"/>
    <s v="Reciclar 15 formadores em TB/HIV, 1 secção de 5 dias no Ano 4"/>
    <x v="1"/>
    <x v="3"/>
    <n v="4"/>
    <x v="9"/>
    <m/>
    <s v="prestação de serv. Integ. TB/HIV"/>
    <m/>
    <m/>
    <m/>
    <n v="0"/>
    <n v="0"/>
    <m/>
    <m/>
    <m/>
    <m/>
    <m/>
    <m/>
  </r>
  <r>
    <n v="105"/>
    <s v="6.14"/>
    <s v="Adquirir cotrimoxazol"/>
    <x v="1"/>
    <x v="3"/>
    <n v="4"/>
    <x v="10"/>
    <m/>
    <s v="prestação de serv. Integ. TB/HIV"/>
    <n v="0"/>
    <m/>
    <m/>
    <n v="0"/>
    <n v="0"/>
    <n v="0"/>
    <n v="0"/>
    <n v="0"/>
    <n v="0"/>
    <m/>
    <n v="0"/>
  </r>
  <r>
    <n v="106"/>
    <s v="6.15"/>
    <s v="Adquirir ARV"/>
    <x v="1"/>
    <x v="3"/>
    <n v="4"/>
    <x v="10"/>
    <m/>
    <s v="prestação de serv. Integ. TB/HIV"/>
    <n v="0"/>
    <m/>
    <m/>
    <n v="0"/>
    <n v="0"/>
    <n v="0"/>
    <n v="0"/>
    <n v="0"/>
    <n v="0"/>
    <m/>
    <n v="0"/>
  </r>
  <r>
    <n v="107"/>
    <s v="6.16"/>
    <s v="Adquirir teste de VIH"/>
    <x v="1"/>
    <x v="3"/>
    <n v="4"/>
    <x v="10"/>
    <m/>
    <s v="prestação de serv. Integ. TB/HIV"/>
    <n v="0"/>
    <m/>
    <m/>
    <n v="0"/>
    <n v="0"/>
    <n v="0"/>
    <n v="0"/>
    <n v="0"/>
    <n v="0"/>
    <m/>
    <n v="0"/>
  </r>
  <r>
    <n v="108"/>
    <s v="6.17"/>
    <s v="Colaborar na Integração dos instrumentos de registos e de reportagem para seguir as actividades de 3 Is."/>
    <x v="1"/>
    <x v="3"/>
    <n v="4"/>
    <x v="9"/>
    <m/>
    <s v="prestação de serv. Integ. TB/HIV"/>
    <n v="2000"/>
    <m/>
    <m/>
    <n v="2000"/>
    <m/>
    <m/>
    <m/>
    <m/>
    <m/>
    <m/>
    <n v="2000"/>
  </r>
  <r>
    <n v="109"/>
    <s v="6.18"/>
    <s v="Atelier para Elaboração da politica de controlo de infecção (25 participantes durante 5 dias)"/>
    <x v="1"/>
    <x v="3"/>
    <n v="4"/>
    <x v="9"/>
    <m/>
    <s v="prestação de serv. Integ. TB/HIV"/>
    <n v="0"/>
    <m/>
    <m/>
    <n v="0"/>
    <m/>
    <m/>
    <m/>
    <m/>
    <n v="0"/>
    <m/>
    <m/>
  </r>
  <r>
    <n v="110"/>
    <s v="7.1"/>
    <s v="Rever reproduzir o guia de Gestão de TB MR"/>
    <x v="1"/>
    <x v="4"/>
    <n v="5"/>
    <x v="11"/>
    <s v="Numero de guia disponivel"/>
    <s v="Capacidades de PNLT para gestão de  TB MR  reforçadas"/>
    <n v="0"/>
    <m/>
    <m/>
    <n v="0"/>
    <n v="0"/>
    <m/>
    <m/>
    <m/>
    <m/>
    <m/>
    <m/>
  </r>
  <r>
    <n v="111"/>
    <s v="7.2"/>
    <s v="Elaborar o documento de politica de controlo de infecção TB nos serviços de saúde e estabelecimentos colectivos e respectivo plano"/>
    <x v="1"/>
    <x v="4"/>
    <n v="5"/>
    <x v="11"/>
    <s v="Documentos elaborados e  disponiveis"/>
    <s v="Capacidades de PNLT para gestão de  TB MR  reforçadas"/>
    <n v="0"/>
    <m/>
    <m/>
    <n v="0"/>
    <n v="0"/>
    <m/>
    <m/>
    <m/>
    <m/>
    <m/>
    <m/>
  </r>
  <r>
    <n v="112"/>
    <s v="7.3"/>
    <s v=" Formar  15 técnicos em gestão de TB MR, 1 sessão de 5 dias (ano 3 e ano 4)"/>
    <x v="0"/>
    <x v="4"/>
    <n v="5"/>
    <x v="11"/>
    <s v="Numero técnicos formados"/>
    <s v="Capacidades de PNLT para gestão de  TB MR  reforçadas"/>
    <n v="4411.3900000000003"/>
    <m/>
    <m/>
    <n v="4411.3900000000003"/>
    <n v="4411.3900000000003"/>
    <m/>
    <m/>
    <m/>
    <m/>
    <m/>
    <m/>
  </r>
  <r>
    <n v="113"/>
    <s v="7.4.1"/>
    <s v="Formar 2 técnicos de laboratório em cultura, no exteriordo país."/>
    <x v="1"/>
    <x v="4"/>
    <n v="5"/>
    <x v="12"/>
    <s v="Numero técnicos formados"/>
    <s v="Capacidades de PNLT para gestão de  TB MR  reforçadas"/>
    <n v="38152"/>
    <m/>
    <m/>
    <n v="38152"/>
    <n v="19076"/>
    <n v="19076"/>
    <m/>
    <m/>
    <m/>
    <m/>
    <m/>
  </r>
  <r>
    <n v="114"/>
    <s v="7.5"/>
    <s v=" Implementar o Laboratório de cultura e o teste de sensibilidade"/>
    <x v="1"/>
    <x v="4"/>
    <n v="5"/>
    <x v="12"/>
    <s v="Numero de exames realizados localmente"/>
    <s v="Capacidades de PNLT para gestão de  TB MR  reforçadas"/>
    <n v="563554.69999999995"/>
    <m/>
    <m/>
    <n v="563554.69999999995"/>
    <m/>
    <n v="563554.69999999995"/>
    <m/>
    <m/>
    <m/>
    <m/>
    <m/>
  </r>
  <r>
    <n v="115"/>
    <s v="7.6"/>
    <s v="Aprovisionar o país de uma de teste rápido (Gene-Xpert e cartuchos)"/>
    <x v="1"/>
    <x v="4"/>
    <n v="5"/>
    <x v="12"/>
    <s v="Numero de dias de ruptura"/>
    <s v="Capacidades de PNLT para gestão de  TB MR  reforçadas"/>
    <n v="35499.599999999999"/>
    <m/>
    <m/>
    <n v="35499.599999999999"/>
    <n v="35499.599999999999"/>
    <m/>
    <m/>
    <m/>
    <m/>
    <m/>
    <m/>
  </r>
  <r>
    <n v="116"/>
    <s v="7.7"/>
    <s v="Aprovisionar o laboratório de cultura em consumíveis e reagente "/>
    <x v="1"/>
    <x v="4"/>
    <n v="5"/>
    <x v="12"/>
    <s v="Numero de dias de ruptura"/>
    <s v="Capacidades de PNLT para gestão de  TB MR  reforçadas"/>
    <n v="12480"/>
    <m/>
    <m/>
    <n v="12480"/>
    <n v="0"/>
    <n v="12480"/>
    <m/>
    <m/>
    <m/>
    <m/>
    <m/>
  </r>
  <r>
    <n v="117"/>
    <s v="7.8"/>
    <s v="Reforçar o sistema de transporte de amostras"/>
    <x v="1"/>
    <x v="4"/>
    <n v="5"/>
    <x v="12"/>
    <s v="Numero de amostras referidas das US"/>
    <s v="Capacidades de PNLT para gestão de  TB MR  reforçadas"/>
    <n v="1003.33"/>
    <m/>
    <m/>
    <n v="1003.33"/>
    <n v="1003.33"/>
    <m/>
    <m/>
    <m/>
    <m/>
    <m/>
    <m/>
  </r>
  <r>
    <n v="118"/>
    <s v="7.9"/>
    <s v="Criar e fazer funcionar um grupo de coordenação gestão para TB MR. (grupo técnico nacional)"/>
    <x v="0"/>
    <x v="4"/>
    <n v="5"/>
    <x v="11"/>
    <s v="Numero de relatorio das actividades"/>
    <s v="Capacidades de PNLT para gestão de  TB MR  reforçadas"/>
    <n v="0"/>
    <m/>
    <m/>
    <n v="0"/>
    <n v="0"/>
    <n v="0"/>
    <n v="0"/>
    <n v="0"/>
    <n v="0"/>
    <m/>
    <n v="0"/>
  </r>
  <r>
    <n v="119"/>
    <s v="7.10"/>
    <s v="Assegurar o tratamento de 2ªlinha a todos os casos de TBMR conforme as directrizes nacional (53 pacotes)"/>
    <x v="1"/>
    <x v="4"/>
    <n v="5"/>
    <x v="8"/>
    <s v="Numero de pacientes submetidos ao tratamento de 2ªlinha"/>
    <s v="Capacidades de PNLT para gestão de  TB MR  reforçadas"/>
    <n v="19345"/>
    <m/>
    <m/>
    <n v="19345"/>
    <n v="19345"/>
    <m/>
    <m/>
    <m/>
    <m/>
    <m/>
    <m/>
  </r>
  <r>
    <m/>
    <s v="7.11"/>
    <s v="Assegurar o manejo dos efeitos secundários"/>
    <x v="1"/>
    <x v="4"/>
    <n v="6"/>
    <x v="8"/>
    <m/>
    <m/>
    <n v="238.1"/>
    <m/>
    <m/>
    <n v="238.1"/>
    <m/>
    <m/>
    <m/>
    <m/>
    <n v="238.1"/>
    <m/>
    <m/>
  </r>
  <r>
    <n v="120"/>
    <s v="7.12"/>
    <s v="Assegurar Apoio nutricional e psico social"/>
    <x v="0"/>
    <x v="4"/>
    <n v="5"/>
    <x v="8"/>
    <s v="Percentagem de pacientes que recebem cesta básica"/>
    <s v="Capacidades de PNLT para gestão de  TB MR  reforçadas"/>
    <n v="9523.81"/>
    <m/>
    <m/>
    <n v="9523.81"/>
    <n v="9523.81"/>
    <m/>
    <m/>
    <m/>
    <m/>
    <m/>
    <m/>
  </r>
  <r>
    <n v="121"/>
    <s v="7.13"/>
    <s v="Assegurar a Vigilância da resistência (implementar a vigilância sentinela)"/>
    <x v="1"/>
    <x v="4"/>
    <n v="5"/>
    <x v="11"/>
    <s v="Relatório de vigilância sentinela disponivel"/>
    <s v="Capacidades de PNLT para gestão de  TB MR  reforçadas"/>
    <n v="1423.33"/>
    <m/>
    <m/>
    <n v="1423.33"/>
    <n v="1423.33"/>
    <m/>
    <m/>
    <m/>
    <m/>
    <m/>
    <m/>
  </r>
  <r>
    <n v="122"/>
    <s v="7.14"/>
    <s v="Supervisionar as actividades de rotina da TB MR mensalmente"/>
    <x v="1"/>
    <x v="4"/>
    <n v="5"/>
    <x v="11"/>
    <s v="Numero de supervisão realizadas"/>
    <s v="Capacidades de PNLT para gestão de  TB MR  reforçadas"/>
    <n v="747.33"/>
    <m/>
    <m/>
    <n v="747.33"/>
    <m/>
    <m/>
    <m/>
    <m/>
    <n v="747.33"/>
    <m/>
    <m/>
  </r>
  <r>
    <n v="123"/>
    <s v="7.15"/>
    <s v="Assegurar o envio de amostras de pacientes suspeitos para CPC, durante 5 anos"/>
    <x v="1"/>
    <x v="4"/>
    <n v="5"/>
    <x v="12"/>
    <m/>
    <s v="Capacidades de PNLT para gestão de  TB MR  reforçadas"/>
    <n v="0"/>
    <m/>
    <m/>
    <n v="0"/>
    <n v="0"/>
    <n v="0"/>
    <n v="0"/>
    <n v="0"/>
    <n v="0"/>
    <m/>
    <n v="0"/>
  </r>
  <r>
    <n v="124"/>
    <s v="7.16"/>
    <s v="Disponibilizar o plano de seguimento dos casos TB MR conforme as directrizes da OMS"/>
    <x v="0"/>
    <x v="4"/>
    <n v="5"/>
    <x v="11"/>
    <m/>
    <s v="Capacidades de PNLT para gestão de  TB MR  reforçadas"/>
    <n v="0"/>
    <m/>
    <m/>
    <n v="0"/>
    <n v="0"/>
    <n v="0"/>
    <n v="0"/>
    <n v="0"/>
    <n v="0"/>
    <m/>
    <n v="0"/>
  </r>
  <r>
    <n v="125"/>
    <s v="7.17"/>
    <s v="Reabilitação e adapatação das estruturas existentes ao  tratamento de TB MR "/>
    <x v="1"/>
    <x v="4"/>
    <n v="5"/>
    <x v="8"/>
    <m/>
    <s v="Capacidades de PNLT para gestão de  TB MR  reforçadas"/>
    <n v="30000"/>
    <m/>
    <m/>
    <n v="30000"/>
    <n v="30000"/>
    <m/>
    <m/>
    <m/>
    <m/>
    <m/>
    <m/>
  </r>
  <r>
    <n v="126"/>
    <s v="7.18"/>
    <s v="Assegurar a formação de 54 agentes de saúde n manejo de casos da Tuberculose multiresistente (18 médicos, 18 enfermeiros, 9 técnicos de farmácia e 9 de laboratório)"/>
    <x v="1"/>
    <x v="4"/>
    <n v="5"/>
    <x v="8"/>
    <m/>
    <s v="Capacidades de PNLT para gestão de  TB MR  reforçadas"/>
    <n v="11013.44"/>
    <m/>
    <m/>
    <n v="11013.44"/>
    <n v="11013.44"/>
    <m/>
    <m/>
    <m/>
    <m/>
    <m/>
    <m/>
  </r>
  <r>
    <n v="127"/>
    <s v="7.19"/>
    <s v="Fazer advocacia para a mobilização e a alocação dos recursos necessários para a luta contra a TBMR"/>
    <x v="1"/>
    <x v="4"/>
    <n v="5"/>
    <x v="11"/>
    <m/>
    <s v="Capacidades de PNLT para gestão de  TB MR  reforçadas"/>
    <n v="152.30000000000001"/>
    <m/>
    <m/>
    <n v="152.30000000000001"/>
    <m/>
    <m/>
    <m/>
    <m/>
    <n v="152.30000000000001"/>
    <m/>
    <m/>
  </r>
  <r>
    <n v="128"/>
    <s v="7.20"/>
    <s v="Assegurar a formação de três (3) quadros do programa em gestão de TB multirresistente."/>
    <x v="1"/>
    <x v="4"/>
    <n v="5"/>
    <x v="11"/>
    <m/>
    <s v="Capacidades de PNLT para gestão de  TB MR  reforçadas"/>
    <n v="22152"/>
    <m/>
    <m/>
    <n v="22152"/>
    <n v="22152"/>
    <m/>
    <m/>
    <m/>
    <m/>
    <m/>
    <m/>
  </r>
  <r>
    <n v="129"/>
    <s v="7.21"/>
    <s v="Formar 20 pessoal de terreno para a recolha e transporte de amostras"/>
    <x v="0"/>
    <x v="4"/>
    <n v="5"/>
    <x v="12"/>
    <m/>
    <s v="Capacidades de PNLT para gestão de  TB MR  reforçadas"/>
    <n v="0"/>
    <m/>
    <m/>
    <n v="0"/>
    <m/>
    <m/>
    <m/>
    <m/>
    <m/>
    <m/>
    <n v="0"/>
  </r>
  <r>
    <n v="130"/>
    <s v="7.22"/>
    <s v="Implementar o sistema de rastreamento das amostras do desde a recolha até ao tratamento"/>
    <x v="1"/>
    <x v="4"/>
    <n v="5"/>
    <x v="12"/>
    <m/>
    <s v="Capacidades de PNLT para gestão de  TB MR  reforçadas"/>
    <n v="750"/>
    <m/>
    <m/>
    <n v="750"/>
    <m/>
    <m/>
    <m/>
    <m/>
    <n v="750"/>
    <m/>
    <m/>
  </r>
  <r>
    <n v="131"/>
    <s v="7.23"/>
    <s v="Tratar 100% dos casos de TB MR confirmados  até 2017"/>
    <x v="1"/>
    <x v="4"/>
    <n v="5"/>
    <x v="8"/>
    <m/>
    <s v="Capacidades de PNLT para gestão de  TB MR  reforçadas"/>
    <n v="0"/>
    <m/>
    <m/>
    <n v="0"/>
    <n v="0"/>
    <n v="0"/>
    <n v="0"/>
    <n v="0"/>
    <n v="0"/>
    <m/>
    <n v="0"/>
  </r>
  <r>
    <n v="132"/>
    <s v="7.24"/>
    <s v="Assegurar o tratamento diretamente observado (TDO) a todos os os pacientes MR em tratamento"/>
    <x v="1"/>
    <x v="4"/>
    <n v="5"/>
    <x v="8"/>
    <m/>
    <s v="Capacidades de PNLT para gestão de  TB MR  reforçadas"/>
    <n v="6103.6"/>
    <m/>
    <m/>
    <n v="6103.6"/>
    <n v="6103.6"/>
    <m/>
    <m/>
    <m/>
    <m/>
    <m/>
    <m/>
  </r>
  <r>
    <n v="133"/>
    <s v="7.25"/>
    <s v="Identificar todos os pacientes irregulares ao tratamento"/>
    <x v="1"/>
    <x v="4"/>
    <n v="5"/>
    <x v="8"/>
    <m/>
    <s v="Capacidades de PNLT para gestão de  TB MR  reforçadas"/>
    <n v="0"/>
    <m/>
    <m/>
    <n v="0"/>
    <n v="0"/>
    <n v="0"/>
    <n v="0"/>
    <n v="0"/>
    <n v="0"/>
    <m/>
    <n v="0"/>
  </r>
  <r>
    <n v="134"/>
    <s v="7.26"/>
    <s v="Assegurar o seguimento dos efeitos adversos do tratamento TB MR nos doentes colocados sob tratamento, até 2017"/>
    <x v="1"/>
    <x v="4"/>
    <n v="5"/>
    <x v="8"/>
    <m/>
    <s v="Capacidades de PNLT para gestão de  TB MR  reforçadas"/>
    <n v="266.7"/>
    <m/>
    <m/>
    <n v="266.7"/>
    <m/>
    <m/>
    <m/>
    <m/>
    <n v="266.7"/>
    <m/>
    <m/>
  </r>
  <r>
    <n v="135"/>
    <s v="7.27"/>
    <s v="Assegurar o manejo dos efeitos adversos a qualquer paciente sob tratamento, até 2017"/>
    <x v="1"/>
    <x v="4"/>
    <n v="5"/>
    <x v="8"/>
    <m/>
    <s v="Capacidades de PNLT para gestão de  TB MR  reforçadas"/>
    <n v="4608"/>
    <m/>
    <m/>
    <n v="4608"/>
    <m/>
    <m/>
    <m/>
    <m/>
    <n v="4608"/>
    <m/>
    <m/>
  </r>
  <r>
    <n v="136"/>
    <s v="7.28"/>
    <s v=" Formar  - para cada paciente ao tratamento - um membro da Comunidade para a realização do TDO, até 2017 (488 Membres de la communauté)"/>
    <x v="1"/>
    <x v="4"/>
    <n v="5"/>
    <x v="13"/>
    <s v="Percentagem de pacientes com efeitos secundários que foram tratados"/>
    <s v="Capacidades de PNLT para gestão de  TB MR  reforçadas"/>
    <n v="2720.6"/>
    <m/>
    <m/>
    <n v="2720.6"/>
    <n v="2720.6"/>
    <m/>
    <m/>
    <m/>
    <m/>
    <m/>
    <m/>
  </r>
  <r>
    <n v="137"/>
    <s v="7.29"/>
    <s v="Implementar até 2015, o mecanismo de farmacovigilância para pacientes em tratamento."/>
    <x v="1"/>
    <x v="4"/>
    <n v="5"/>
    <x v="8"/>
    <m/>
    <s v="Capacidades de PNLT para gestão de  TB MR  reforçadas"/>
    <n v="5584.7"/>
    <m/>
    <m/>
    <n v="5584.7"/>
    <n v="5584.7"/>
    <m/>
    <m/>
    <m/>
    <m/>
    <m/>
    <m/>
  </r>
  <r>
    <n v="138"/>
    <s v="7.30"/>
    <s v="Treinar 16 rofessionais para a utilização das orientações e ferramentas de coleta de dados"/>
    <x v="1"/>
    <x v="4"/>
    <n v="5"/>
    <x v="11"/>
    <m/>
    <s v="Capacidades de PNLT para gestão de  TB MR  reforçadas"/>
    <n v="0"/>
    <m/>
    <m/>
    <n v="0"/>
    <m/>
    <m/>
    <m/>
    <m/>
    <m/>
    <m/>
    <n v="0"/>
  </r>
  <r>
    <n v="139"/>
    <s v="7.31"/>
    <s v="Formar 50 gestores do sistema de saúde na exploração e análise de dados para tomada de decisão"/>
    <x v="0"/>
    <x v="4"/>
    <n v="5"/>
    <x v="11"/>
    <m/>
    <s v="Capacidades de PNLT para gestão de  TB MR  reforçadas"/>
    <n v="0"/>
    <m/>
    <m/>
    <n v="0"/>
    <m/>
    <m/>
    <m/>
    <m/>
    <m/>
    <m/>
    <n v="0"/>
  </r>
  <r>
    <n v="140"/>
    <s v="7.32"/>
    <s v="Advogar junto aos decisores (CNE, DAF e MSAS,.) para o planificação e orçamentação da supervisão, de forma regular "/>
    <x v="2"/>
    <x v="4"/>
    <n v="5"/>
    <x v="11"/>
    <m/>
    <s v="Capacidades de PNLT para gestão de  TB MR  reforçadas"/>
    <n v="92.8"/>
    <m/>
    <m/>
    <n v="92.8"/>
    <m/>
    <m/>
    <m/>
    <m/>
    <n v="92.8"/>
    <m/>
    <m/>
  </r>
  <r>
    <n v="141"/>
    <s v="7.33"/>
    <s v="Rever e alinhar o Plano S &amp; A TBMR  ao caneta 2013-2017"/>
    <x v="1"/>
    <x v="4"/>
    <n v="5"/>
    <x v="11"/>
    <m/>
    <m/>
    <n v="6502.8"/>
    <m/>
    <m/>
    <n v="6502.8"/>
    <n v="6502.8"/>
    <m/>
    <m/>
    <m/>
    <m/>
    <m/>
    <m/>
  </r>
  <r>
    <n v="142"/>
    <s v="7.34"/>
    <s v="Elaborar directrizes de vigilância de TBMR"/>
    <x v="1"/>
    <x v="4"/>
    <n v="5"/>
    <x v="11"/>
    <m/>
    <s v="Capacidades de PNLT para gestão de  TB MR  reforçadas"/>
    <n v="0"/>
    <m/>
    <m/>
    <n v="0"/>
    <m/>
    <m/>
    <n v="0"/>
    <m/>
    <m/>
    <m/>
    <m/>
  </r>
  <r>
    <n v="143"/>
    <s v="7.35"/>
    <s v="Doptar o PNLT de um ponto focal de TBMR  "/>
    <x v="1"/>
    <x v="4"/>
    <n v="5"/>
    <x v="11"/>
    <m/>
    <s v="Capacidades de PNLT para gestão de  TB MR  reforçadas"/>
    <n v="0"/>
    <m/>
    <m/>
    <n v="0"/>
    <n v="0"/>
    <n v="0"/>
    <n v="0"/>
    <n v="0"/>
    <n v="0"/>
    <m/>
    <n v="0"/>
  </r>
  <r>
    <n v="144"/>
    <s v="7.36"/>
    <s v="Reforçar a capacidade (formar e reciclar) dos quadros para a gestão de TBMR"/>
    <x v="1"/>
    <x v="4"/>
    <n v="5"/>
    <x v="11"/>
    <m/>
    <s v="Capacidades de PNLT para gestão de  TB MR  reforçadas"/>
    <n v="0"/>
    <m/>
    <m/>
    <n v="0"/>
    <m/>
    <m/>
    <m/>
    <m/>
    <m/>
    <m/>
    <n v="0"/>
  </r>
  <r>
    <n v="145"/>
    <s v="7.37"/>
    <s v="Elaborar o plano nacional para controlo da infecção tuberculina em São Tomé e Príncipe até finais de 2015"/>
    <x v="1"/>
    <x v="4"/>
    <n v="5"/>
    <x v="11"/>
    <m/>
    <s v="Elaborar o plano nacional para o controlo da infecção tuberculosa em STP até final de 2015"/>
    <n v="10039.6"/>
    <m/>
    <m/>
    <n v="10039.6"/>
    <m/>
    <m/>
    <n v="10039.6"/>
    <m/>
    <m/>
    <m/>
    <m/>
  </r>
  <r>
    <n v="146"/>
    <s v="7.38"/>
    <s v="Aprovisionar as estruturas de saúde com TB MR de meios de protecção individual contra a infecção tuberculosa (máscaras respiradoras)"/>
    <x v="1"/>
    <x v="4"/>
    <n v="5"/>
    <x v="14"/>
    <m/>
    <s v="Capacidades de PNLT para gestão de  TB MR  reforçadas"/>
    <n v="24500"/>
    <m/>
    <m/>
    <n v="24500"/>
    <n v="24500"/>
    <m/>
    <m/>
    <m/>
    <m/>
    <m/>
    <m/>
  </r>
  <r>
    <n v="147"/>
    <s v="7.39"/>
    <s v="Formar 150 profissionais de saúde no controlo da infecção  eTB MR nas unidades sanitárias"/>
    <x v="1"/>
    <x v="4"/>
    <n v="5"/>
    <x v="14"/>
    <m/>
    <s v="Capacidades de PNLT para gestão de  TB MR  reforçadas"/>
    <n v="33095.1"/>
    <m/>
    <m/>
    <n v="33095.1"/>
    <n v="33095.1"/>
    <m/>
    <m/>
    <m/>
    <m/>
    <m/>
    <m/>
  </r>
  <r>
    <n v="148"/>
    <s v="7.40"/>
    <s v="Realizar um inquérito sobre a aplicação das normas internacionais de controlo da infecção TBMR "/>
    <x v="0"/>
    <x v="4"/>
    <n v="5"/>
    <x v="14"/>
    <m/>
    <s v="Capacidades de PNLT para gestão de  TB MR  reforçadas"/>
    <n v="15000"/>
    <m/>
    <m/>
    <n v="15000"/>
    <m/>
    <m/>
    <m/>
    <m/>
    <m/>
    <m/>
    <n v="15000"/>
  </r>
  <r>
    <n v="149"/>
    <s v="7.41"/>
    <s v="Elaborar e multiplicar os materiais de sensibilização dos membros da comunidade sob controlo da infecção"/>
    <x v="1"/>
    <x v="4"/>
    <n v="5"/>
    <x v="13"/>
    <m/>
    <s v="Capacidades de PNLT para gestão de  TB MR  reforçadas"/>
    <n v="0"/>
    <m/>
    <m/>
    <n v="0"/>
    <n v="0"/>
    <m/>
    <m/>
    <m/>
    <m/>
    <m/>
    <m/>
  </r>
  <r>
    <n v="150"/>
    <s v="7.42"/>
    <s v="Realizar um estudo para a reabilitação/adaptação das infraestruturas de tratamento da TB. Segundo as normas internacionais de controlo da infecção"/>
    <x v="0"/>
    <x v="4"/>
    <n v="5"/>
    <x v="11"/>
    <m/>
    <s v="Capacidades de PNLT para gestão de  TB MR  reforçadas"/>
    <n v="10583.9"/>
    <m/>
    <m/>
    <n v="10583.9"/>
    <m/>
    <m/>
    <m/>
    <m/>
    <m/>
    <m/>
    <n v="10583.9"/>
  </r>
  <r>
    <n v="151"/>
    <s v="7.43"/>
    <s v="Elaborar as normas nacionais para construção de Insfrestruturas de saúde em STP, até final de 2014"/>
    <x v="1"/>
    <x v="4"/>
    <n v="5"/>
    <x v="11"/>
    <m/>
    <s v="Capacidades de PNLT para gestão de  TB MR  reforçadas"/>
    <n v="0"/>
    <m/>
    <m/>
    <n v="0"/>
    <m/>
    <m/>
    <n v="0"/>
    <m/>
    <m/>
    <m/>
    <m/>
  </r>
</pivotCacheRecords>
</file>

<file path=xl/pivotCache/pivotCacheRecords2.xml><?xml version="1.0" encoding="utf-8"?>
<pivotCacheRecords xmlns="http://schemas.openxmlformats.org/spreadsheetml/2006/main" xmlns:r="http://schemas.openxmlformats.org/officeDocument/2006/relationships" count="155">
  <r>
    <n v="1"/>
    <s v="1.1.1"/>
    <s v="Elaborar e imprimir edivulgar plano de advocacia,  "/>
    <x v="0"/>
    <x v="0"/>
    <n v="1"/>
    <x v="0"/>
    <s v="Numero de documentos elaborados e disponíveis"/>
    <s v="As capacidades gestionárias do programa reforçadas"/>
    <m/>
    <n v="0"/>
    <m/>
    <n v="0"/>
    <m/>
    <m/>
    <m/>
    <m/>
    <m/>
    <m/>
    <n v="0"/>
  </r>
  <r>
    <n v="2"/>
    <s v="1.1.2"/>
    <s v="Elaborar/Rever e imprimir  plano anual operacional de implementação"/>
    <x v="1"/>
    <x v="0"/>
    <n v="1"/>
    <x v="0"/>
    <s v="Numero de documentos elaborados e disponíveis"/>
    <s v="As capacidades gestionárias do programa reforçadas"/>
    <m/>
    <n v="5177.6400000000012"/>
    <m/>
    <n v="5177.6400000000012"/>
    <n v="5177.6400000000012"/>
    <m/>
    <m/>
    <m/>
    <m/>
    <m/>
    <m/>
  </r>
  <r>
    <n v="3"/>
    <s v="1.1.3"/>
    <s v="Elaborar  e imprimir  plano de mobilização da recurso"/>
    <x v="2"/>
    <x v="0"/>
    <n v="1"/>
    <x v="0"/>
    <s v="Numero de documentos elaborados e disponíveis"/>
    <s v="As capacidades gestionárias do programa reforçadas"/>
    <m/>
    <n v="0"/>
    <m/>
    <n v="0"/>
    <m/>
    <m/>
    <m/>
    <m/>
    <m/>
    <m/>
    <n v="0"/>
  </r>
  <r>
    <n v="4"/>
    <s v="1.1.4"/>
    <s v="Elaborar  e imprimir  plano de formação"/>
    <x v="1"/>
    <x v="0"/>
    <n v="1"/>
    <x v="0"/>
    <s v="Numero de documentos elaborados e disponíveis"/>
    <s v="As capacidades gestionárias do programa reforçadas"/>
    <m/>
    <n v="1905.11"/>
    <m/>
    <n v="1905.11"/>
    <n v="1905.11"/>
    <m/>
    <m/>
    <m/>
    <m/>
    <m/>
    <m/>
  </r>
  <r>
    <n v="5"/>
    <s v="1.1.5"/>
    <s v="Elaborar  e imprimir  plano TB MR"/>
    <x v="2"/>
    <x v="0"/>
    <n v="1"/>
    <x v="0"/>
    <s v="Numero de documentos elaborados e disponíveis"/>
    <s v="As capacidades gestionárias do programa reforçadas"/>
    <m/>
    <n v="2951.1100000000006"/>
    <m/>
    <n v="2951.1100000000006"/>
    <n v="2951.1100000000006"/>
    <m/>
    <m/>
    <m/>
    <m/>
    <m/>
    <m/>
  </r>
  <r>
    <n v="6"/>
    <s v="1.1.6"/>
    <s v="Elaborar  e imprimir  manual de procedimento administrativo, "/>
    <x v="2"/>
    <x v="0"/>
    <n v="1"/>
    <x v="0"/>
    <s v="Numero de documentos elaborados e disponíveis"/>
    <s v="As capacidades gestionárias do programa reforçadas"/>
    <m/>
    <n v="0"/>
    <m/>
    <n v="0"/>
    <m/>
    <m/>
    <m/>
    <m/>
    <m/>
    <m/>
    <n v="0"/>
  </r>
  <r>
    <n v="7"/>
    <s v="1.1.7"/>
    <s v="Elaborar  e imprimir  politica sobre a gestão de medicamentos, "/>
    <x v="0"/>
    <x v="0"/>
    <n v="1"/>
    <x v="0"/>
    <s v="Numero de documentos elaborados e disponíveis"/>
    <s v="As capacidades gestionárias do programa reforçadas"/>
    <m/>
    <n v="0"/>
    <m/>
    <n v="0"/>
    <m/>
    <m/>
    <n v="0"/>
    <m/>
    <m/>
    <m/>
    <m/>
  </r>
  <r>
    <n v="8"/>
    <s v="1.1.7.1"/>
    <s v="Multiplicar e disseminar 100 exemplares de modulo de formação em manejo de casos de TB"/>
    <x v="1"/>
    <x v="0"/>
    <n v="1"/>
    <x v="0"/>
    <m/>
    <s v="As capacidades gestionárias do programa reforçadas"/>
    <m/>
    <n v="0"/>
    <m/>
    <n v="0"/>
    <m/>
    <m/>
    <m/>
    <m/>
    <m/>
    <m/>
    <n v="0"/>
  </r>
  <r>
    <n v="9"/>
    <s v="1.1.8"/>
    <s v="Revisão  e impressãodo guia de supervisão) "/>
    <x v="1"/>
    <x v="0"/>
    <n v="1"/>
    <x v="0"/>
    <s v="Numero de documentos elaborados e disponíveis"/>
    <s v="As capacidades gestionárias do programa reforçadas"/>
    <m/>
    <n v="2058.5600000000004"/>
    <m/>
    <n v="2058.5600000000004"/>
    <n v="2058.5600000000004"/>
    <m/>
    <m/>
    <m/>
    <m/>
    <m/>
    <m/>
  </r>
  <r>
    <n v="10"/>
    <s v="1.1.9"/>
    <s v="Descrição de atribuições das vagas a criar (TDR)"/>
    <x v="2"/>
    <x v="0"/>
    <n v="1"/>
    <x v="0"/>
    <s v="Numero de documentos elaborados e disponíveis"/>
    <s v="As capacidades gestionárias do programa reforçadas"/>
    <m/>
    <n v="0"/>
    <m/>
    <n v="0"/>
    <m/>
    <m/>
    <m/>
    <m/>
    <n v="0"/>
    <m/>
    <m/>
  </r>
  <r>
    <n v="11"/>
    <s v="1.1.10"/>
    <s v="Criar e dotar vagas para o PNLT"/>
    <x v="1"/>
    <x v="0"/>
    <n v="1"/>
    <x v="0"/>
    <m/>
    <s v="As capacidades gestionárias do programa reforçadas"/>
    <m/>
    <m/>
    <m/>
    <n v="0"/>
    <n v="0"/>
    <n v="0"/>
    <n v="0"/>
    <n v="0"/>
    <n v="0"/>
    <m/>
    <n v="0"/>
  </r>
  <r>
    <n v="12"/>
    <s v="1.1.11"/>
    <s v="Atribuição da nova grelha salarial à equipa  PNLT"/>
    <x v="1"/>
    <x v="0"/>
    <n v="1"/>
    <x v="0"/>
    <m/>
    <s v="As capacidades gestionárias do programa reforçadas"/>
    <m/>
    <n v="76968"/>
    <m/>
    <n v="76968"/>
    <n v="76968"/>
    <m/>
    <m/>
    <m/>
    <m/>
    <m/>
    <m/>
  </r>
  <r>
    <n v="13"/>
    <s v="1.1.12"/>
    <s v="Atelier de 3 dias para a Revisão do Guia de laboratório (10 participantes)"/>
    <x v="1"/>
    <x v="0"/>
    <n v="1"/>
    <x v="0"/>
    <m/>
    <s v="As capacidades gestionárias do programa reforçadas"/>
    <m/>
    <n v="0"/>
    <m/>
    <n v="0"/>
    <m/>
    <n v="0"/>
    <m/>
    <m/>
    <m/>
    <m/>
    <m/>
  </r>
  <r>
    <n v="14"/>
    <s v="1.2.1"/>
    <s v="Formação em Gestão do Programa 3 pessoas"/>
    <x v="1"/>
    <x v="0"/>
    <n v="1"/>
    <x v="0"/>
    <s v="Numero de pessoal formado"/>
    <s v="As capacidades gestionárias do programa reforçadas"/>
    <m/>
    <n v="0"/>
    <m/>
    <n v="0"/>
    <n v="0"/>
    <m/>
    <m/>
    <m/>
    <m/>
    <m/>
    <m/>
  </r>
  <r>
    <n v="15"/>
    <s v="1.2.2"/>
    <s v=" Formação em gestão da TB 15 pessoas"/>
    <x v="1"/>
    <x v="0"/>
    <n v="1"/>
    <x v="0"/>
    <s v="Numero de pessoal formado"/>
    <s v="As capacidades gestionárias do programa reforçadas"/>
    <m/>
    <n v="0"/>
    <m/>
    <n v="0"/>
    <n v="0"/>
    <m/>
    <m/>
    <m/>
    <m/>
    <m/>
    <m/>
  </r>
  <r>
    <n v="16"/>
    <s v="1.2.3"/>
    <s v="Formação em saúde pública 2 pessoas"/>
    <x v="0"/>
    <x v="0"/>
    <n v="1"/>
    <x v="0"/>
    <s v="Numero de pessoal formado"/>
    <s v="As capacidades gestionárias do programa reforçadas"/>
    <m/>
    <n v="0"/>
    <m/>
    <n v="0"/>
    <m/>
    <m/>
    <m/>
    <m/>
    <m/>
    <m/>
    <n v="0"/>
  </r>
  <r>
    <n v="17"/>
    <s v="1.2.4"/>
    <s v="Formação em gestão administrativa 1 pessoa"/>
    <x v="1"/>
    <x v="0"/>
    <n v="1"/>
    <x v="0"/>
    <s v="Numero de pessoal formado"/>
    <s v="As capacidades gestionárias do programa reforçadas"/>
    <m/>
    <n v="0"/>
    <m/>
    <n v="0"/>
    <m/>
    <m/>
    <m/>
    <m/>
    <m/>
    <m/>
    <n v="0"/>
  </r>
  <r>
    <n v="18"/>
    <s v="1.2.5"/>
    <s v="Formação em Seguimento e avaliação 2 pessoas"/>
    <x v="1"/>
    <x v="1"/>
    <n v="2"/>
    <x v="1"/>
    <s v="Numero de pessoal formado"/>
    <s v="As capacidades gestionárias do programa reforçadas"/>
    <m/>
    <n v="38152"/>
    <m/>
    <n v="38152"/>
    <m/>
    <m/>
    <m/>
    <m/>
    <m/>
    <m/>
    <n v="38152"/>
  </r>
  <r>
    <n v="19"/>
    <s v="1.2.6"/>
    <s v="Formar 3 pessoas (2 farmácia e 1 medico de programa) em gestão e aprovisionamento de medicamentos "/>
    <x v="1"/>
    <x v="0"/>
    <n v="1"/>
    <x v="2"/>
    <s v="Numero de pessoal formado"/>
    <s v="As capacidades gestionárias do programa reforçadas"/>
    <m/>
    <m/>
    <m/>
    <n v="0"/>
    <n v="0"/>
    <m/>
    <m/>
    <m/>
    <m/>
    <m/>
    <m/>
  </r>
  <r>
    <n v="20"/>
    <s v="1.2.7"/>
    <s v="Formar 12 Técnicos de Farmácia (6 CDT, 1 RAP, 3 HAM e 2 FNM) em gestão de medicamentos (1 sessão de 5 dias no Ano 1) "/>
    <x v="1"/>
    <x v="0"/>
    <n v="1"/>
    <x v="2"/>
    <s v="Numero de pessoal formado"/>
    <s v="As capacidades gestionárias do programa reforçadas"/>
    <m/>
    <n v="0"/>
    <m/>
    <n v="0"/>
    <n v="0"/>
    <m/>
    <m/>
    <m/>
    <m/>
    <m/>
    <m/>
  </r>
  <r>
    <n v="21"/>
    <s v="1.2.8"/>
    <s v="Reciclar 12 Técnicos de Farmácia (6 CDT, 1 RAP, 3 HAM e 2 FNM) em gestão de medicamentos (1 sessão de 5 dias no Ano 3) "/>
    <x v="0"/>
    <x v="0"/>
    <n v="1"/>
    <x v="2"/>
    <s v="Numero de pessoal formado"/>
    <s v="As capacidades gestionárias do programa reforçadas"/>
    <m/>
    <m/>
    <m/>
    <n v="0"/>
    <m/>
    <m/>
    <m/>
    <m/>
    <m/>
    <m/>
    <n v="0"/>
  </r>
  <r>
    <n v="22"/>
    <s v="1.3"/>
    <s v=" Advocacia para criar e dotar vagas para o PNLT (Um Director do programa médicos (2), enfermeira ( 1) seguimento  e avaliação, uma técnica de laboratório(1), um técnico de farmácia (1), secretaria (1),  técnico administrativo (1), motorista(1), assistente pedagógica até 2017"/>
    <x v="1"/>
    <x v="0"/>
    <n v="1"/>
    <x v="0"/>
    <s v="Numero de lugares criados dotados"/>
    <s v="As capacidades gestionárias do programa reforçadas"/>
    <m/>
    <n v="0"/>
    <m/>
    <n v="0"/>
    <m/>
    <m/>
    <m/>
    <m/>
    <n v="0"/>
    <m/>
    <m/>
  </r>
  <r>
    <n v="23"/>
    <s v="1.4"/>
    <s v="Realizar Semestralmente e trimestralmente encontros de coordenação entre os diferentes parceiros "/>
    <x v="2"/>
    <x v="0"/>
    <n v="1"/>
    <x v="0"/>
    <s v="Numero de relatórios das reuniões disponíveis"/>
    <s v="As capacidades gestionárias do programa reforçadas"/>
    <m/>
    <n v="366.67"/>
    <m/>
    <n v="366.67"/>
    <n v="366.67"/>
    <m/>
    <m/>
    <m/>
    <m/>
    <m/>
    <m/>
  </r>
  <r>
    <n v="24"/>
    <s v="1.4.1"/>
    <s v="Realizar trimestralmente encontros de coordenação entre os diferentes níveis"/>
    <x v="1"/>
    <x v="0"/>
    <n v="1"/>
    <x v="0"/>
    <m/>
    <s v="As capacidades gestionárias do programa reforçadas"/>
    <m/>
    <n v="1450"/>
    <m/>
    <n v="1450"/>
    <n v="1450"/>
    <m/>
    <m/>
    <m/>
    <m/>
    <m/>
    <m/>
  </r>
  <r>
    <n v="25"/>
    <s v="1.5.1"/>
    <s v="Aquisição de materiais equipamento de escritório, e comunicação)"/>
    <x v="1"/>
    <x v="0"/>
    <n v="1"/>
    <x v="3"/>
    <s v="Numero de relatório técnicos e financeiros"/>
    <s v="As capacidades gestionárias do programa reforçadas"/>
    <m/>
    <n v="5904.7700000000013"/>
    <m/>
    <n v="5904.7700000000013"/>
    <m/>
    <m/>
    <m/>
    <m/>
    <m/>
    <m/>
    <n v="5904.7700000000013"/>
  </r>
  <r>
    <n v="26"/>
    <s v="1.5.2"/>
    <s v="Assegurar o funcionamento do PNLT"/>
    <x v="1"/>
    <x v="0"/>
    <n v="1"/>
    <x v="3"/>
    <m/>
    <s v="As capacidades gestionárias do programa reforçadas"/>
    <m/>
    <n v="5074.08"/>
    <m/>
    <n v="5074.08"/>
    <n v="5074.08"/>
    <m/>
    <m/>
    <m/>
    <m/>
    <m/>
    <m/>
  </r>
  <r>
    <s v="26.1"/>
    <s v="1.5.2.1"/>
    <s v="Assegurar o funcionamento das Unidades Sanitárias no processo de descentralização da  estratégia DOT"/>
    <x v="1"/>
    <x v="0"/>
    <n v="1"/>
    <x v="3"/>
    <m/>
    <m/>
    <m/>
    <n v="78101.305366506771"/>
    <m/>
    <n v="78101.305366506771"/>
    <m/>
    <m/>
    <m/>
    <m/>
    <n v="78101.305366506771"/>
    <m/>
    <m/>
  </r>
  <r>
    <n v="27"/>
    <s v="1.5.3"/>
    <s v="Assegurar o funcionamento do PNLT (Seguro de Transporte de PNLT)"/>
    <x v="1"/>
    <x v="0"/>
    <n v="1"/>
    <x v="3"/>
    <m/>
    <s v="As capacidades gestionárias do programa reforçadas"/>
    <m/>
    <n v="6306.48"/>
    <m/>
    <n v="6306.48"/>
    <n v="6306.48"/>
    <m/>
    <m/>
    <m/>
    <m/>
    <m/>
    <m/>
  </r>
  <r>
    <n v="28"/>
    <s v="1.5.4"/>
    <s v="Assegurar o funcionamento do PNLT (Manutenção de viatura)"/>
    <x v="1"/>
    <x v="0"/>
    <n v="1"/>
    <x v="3"/>
    <m/>
    <s v="As capacidades gestionárias do programa reforçadas"/>
    <m/>
    <n v="8320"/>
    <m/>
    <n v="8320"/>
    <n v="8320"/>
    <m/>
    <m/>
    <m/>
    <m/>
    <m/>
    <m/>
  </r>
  <r>
    <n v="29"/>
    <s v="1.6.1"/>
    <s v="Aquisição de 1 viatura"/>
    <x v="1"/>
    <x v="0"/>
    <n v="1"/>
    <x v="3"/>
    <m/>
    <s v="As capacidades gestionárias do programa reforçadas"/>
    <m/>
    <n v="0"/>
    <m/>
    <n v="0"/>
    <n v="0"/>
    <m/>
    <m/>
    <m/>
    <m/>
    <m/>
    <m/>
  </r>
  <r>
    <n v="30"/>
    <s v="1.6.2"/>
    <s v="Aquisição de 7 KIT informático"/>
    <x v="1"/>
    <x v="0"/>
    <n v="1"/>
    <x v="3"/>
    <m/>
    <s v="As capacidades gestionárias do programa reforçadas"/>
    <m/>
    <n v="0"/>
    <m/>
    <n v="0"/>
    <n v="0"/>
    <m/>
    <m/>
    <m/>
    <m/>
    <m/>
    <m/>
  </r>
  <r>
    <n v="31"/>
    <s v="1.6.3"/>
    <s v="Contratar uma empresa para assegurar a manutenção dos equipamentos (informático, frigoríficos, ar condicionados, a) contínuo durante 5 anos"/>
    <x v="0"/>
    <x v="0"/>
    <n v="1"/>
    <x v="3"/>
    <m/>
    <s v="As capacidades gestionárias do programa reforçadas"/>
    <m/>
    <n v="1284"/>
    <m/>
    <n v="1284"/>
    <m/>
    <m/>
    <m/>
    <m/>
    <m/>
    <m/>
    <n v="1284"/>
  </r>
  <r>
    <n v="32"/>
    <s v="1.6.4"/>
    <s v="Aquisição de 2 aparelho de medição da temperatura do ambiente – registo durante 24 horas"/>
    <x v="1"/>
    <x v="0"/>
    <n v="1"/>
    <x v="2"/>
    <m/>
    <s v="As capacidades gestionárias do programa reforçadas"/>
    <m/>
    <n v="0"/>
    <m/>
    <n v="0"/>
    <n v="0"/>
    <m/>
    <m/>
    <m/>
    <m/>
    <m/>
    <m/>
  </r>
  <r>
    <n v="33"/>
    <s v="1.6.4.1"/>
    <s v="Assegurar o funcionamento do aparelho de medição da temperatura do ambiente – rolo de registo de oscilação "/>
    <x v="1"/>
    <x v="0"/>
    <n v="1"/>
    <x v="2"/>
    <m/>
    <s v="As capacidades gestionárias do programa reforçadas"/>
    <m/>
    <m/>
    <m/>
    <n v="0"/>
    <n v="0"/>
    <m/>
    <m/>
    <m/>
    <m/>
    <m/>
    <m/>
  </r>
  <r>
    <n v="34"/>
    <s v="1.6.4.2"/>
    <s v="Contratar uma empresa para assegurar a manutenção dos equipamentos (aparelho de medição de temperatura) contínuo durante 5 anos"/>
    <x v="1"/>
    <x v="0"/>
    <n v="1"/>
    <x v="2"/>
    <m/>
    <s v="As capacidades gestionárias do programa reforçadas"/>
    <m/>
    <n v="700"/>
    <m/>
    <n v="700"/>
    <n v="700"/>
    <m/>
    <m/>
    <m/>
    <m/>
    <m/>
    <m/>
  </r>
  <r>
    <n v="35"/>
    <s v="1.6.5"/>
    <s v="Aquisição de 10 motorizada para distritos) até 2018"/>
    <x v="0"/>
    <x v="0"/>
    <n v="1"/>
    <x v="3"/>
    <m/>
    <s v="As capacidades gestionárias do programa reforçadas"/>
    <m/>
    <n v="0"/>
    <m/>
    <n v="0"/>
    <n v="0"/>
    <m/>
    <m/>
    <m/>
    <m/>
    <m/>
    <m/>
  </r>
  <r>
    <n v="36"/>
    <s v="1.7"/>
    <s v="Assistência Tecnica internacional para Criar um sistema de incentivos (individuais e colectivos, financeiros e não financeiros) baseados no desempenho"/>
    <x v="2"/>
    <x v="0"/>
    <n v="1"/>
    <x v="0"/>
    <m/>
    <s v="As capacidades gestionárias do programa reforçadas"/>
    <m/>
    <n v="0"/>
    <m/>
    <n v="0"/>
    <m/>
    <m/>
    <m/>
    <m/>
    <m/>
    <m/>
    <n v="0"/>
  </r>
  <r>
    <n v="37"/>
    <s v="1.8"/>
    <s v="Realizar  Supervisão de gestão de medicamentos (RAP semestralmente)"/>
    <x v="1"/>
    <x v="0"/>
    <n v="1"/>
    <x v="0"/>
    <s v="Numero de supervisões realizadas"/>
    <s v="As capacidades gestionárias do programa reforçadas"/>
    <m/>
    <n v="2313.6899999999996"/>
    <m/>
    <n v="2313.6899999999996"/>
    <n v="2313.6899999999996"/>
    <m/>
    <m/>
    <m/>
    <m/>
    <m/>
    <m/>
  </r>
  <r>
    <n v="38"/>
    <s v="1.9"/>
    <s v="Aquisição de Combustível para transporte (distribuição de medicamentos) e gerador (50 Lt por mês para Gerador) durante 5 anos"/>
    <x v="1"/>
    <x v="0"/>
    <n v="1"/>
    <x v="3"/>
    <m/>
    <s v="As capacidades gestionárias do programa reforçadas"/>
    <m/>
    <n v="1713.6"/>
    <m/>
    <n v="1713.6"/>
    <n v="1713.6"/>
    <m/>
    <m/>
    <m/>
    <m/>
    <m/>
    <m/>
  </r>
  <r>
    <n v="39"/>
    <s v="1.10"/>
    <s v="Assegurar envio de medicamentos e outros consumíveis para RAP"/>
    <x v="1"/>
    <x v="0"/>
    <n v="1"/>
    <x v="3"/>
    <m/>
    <s v="As capacidades gestionárias do programa reforçadas"/>
    <m/>
    <n v="400"/>
    <m/>
    <n v="400"/>
    <m/>
    <m/>
    <m/>
    <m/>
    <n v="400"/>
    <m/>
    <m/>
  </r>
  <r>
    <n v="40"/>
    <s v="1.11"/>
    <s v="Adquirir/adaptar base de dado para gestão de stok dos medicamentos (FNM)"/>
    <x v="1"/>
    <x v="0"/>
    <n v="1"/>
    <x v="3"/>
    <m/>
    <s v="As capacidades gestionárias do programa reforçadas"/>
    <m/>
    <n v="0"/>
    <m/>
    <n v="0"/>
    <n v="0"/>
    <m/>
    <m/>
    <m/>
    <m/>
    <m/>
    <m/>
  </r>
  <r>
    <n v="41"/>
    <s v="1.12"/>
    <s v="Formação em utilização do softwer para gestão de stok dos medicamentos (FNM)"/>
    <x v="1"/>
    <x v="0"/>
    <n v="1"/>
    <x v="3"/>
    <m/>
    <s v="As capacidades gestionárias do programa reforçadas"/>
    <m/>
    <n v="0"/>
    <m/>
    <n v="0"/>
    <n v="0"/>
    <m/>
    <m/>
    <m/>
    <m/>
    <m/>
    <m/>
  </r>
  <r>
    <n v="42"/>
    <s v="1.13"/>
    <s v="Formar 15 técnicos na instalação de uma base de dados (SPSS) da TB, 1 sessão de 5 dias."/>
    <x v="2"/>
    <x v="0"/>
    <n v="1"/>
    <x v="0"/>
    <m/>
    <s v="As capacidades gestionárias do programa reforçadas"/>
    <m/>
    <n v="0"/>
    <m/>
    <n v="0"/>
    <m/>
    <m/>
    <m/>
    <m/>
    <m/>
    <m/>
    <n v="0"/>
  </r>
  <r>
    <n v="43"/>
    <s v="2.1"/>
    <s v="Recrutar e afectar 1 técnico de Seguimento e Avaliação do PNLT"/>
    <x v="1"/>
    <x v="1"/>
    <n v="2"/>
    <x v="1"/>
    <s v="Técnico recrutado"/>
    <s v="Sistema de seguimento e avaliação do Programa fortalecido"/>
    <m/>
    <m/>
    <m/>
    <n v="0"/>
    <n v="0"/>
    <m/>
    <m/>
    <m/>
    <m/>
    <m/>
    <m/>
  </r>
  <r>
    <n v="44"/>
    <s v="2.2"/>
    <s v="Organizar atelier de 5 dias para actualizar e validação o plano de seguimento e avaliação e instrumento de colheita dos dados"/>
    <x v="1"/>
    <x v="1"/>
    <n v="2"/>
    <x v="1"/>
    <s v="Plano S&amp;A actualizado e disponivel"/>
    <s v="Sistema de seguimento e avaliação do Programa fortalecido"/>
    <m/>
    <n v="0"/>
    <m/>
    <n v="0"/>
    <n v="0"/>
    <m/>
    <m/>
    <m/>
    <m/>
    <m/>
    <m/>
  </r>
  <r>
    <n v="45"/>
    <s v="2.2.1"/>
    <s v="Organizar um atelier de 5 jours para avaliação do cumprimento do plano de seguimento e avaliação"/>
    <x v="1"/>
    <x v="1"/>
    <n v="2"/>
    <x v="1"/>
    <m/>
    <s v="Sistema de seguimento e avaliação do Programa fortalecido"/>
    <m/>
    <n v="3356.39"/>
    <m/>
    <n v="3356.39"/>
    <n v="3356.39"/>
    <m/>
    <m/>
    <m/>
    <m/>
    <m/>
    <m/>
  </r>
  <r>
    <n v="46"/>
    <s v="2.3"/>
    <s v="Implementar o plano de seguimento e avaliação"/>
    <x v="1"/>
    <x v="1"/>
    <n v="2"/>
    <x v="1"/>
    <m/>
    <s v="Sistema de seguimento e avaliação do Programa fortalecido"/>
    <m/>
    <n v="0"/>
    <m/>
    <n v="0"/>
    <n v="0"/>
    <n v="0"/>
    <n v="0"/>
    <n v="0"/>
    <n v="0"/>
    <m/>
    <n v="0"/>
  </r>
  <r>
    <n v="47"/>
    <s v="2.4"/>
    <s v="Implementar o sistema de registo electrónico de dados TB "/>
    <x v="0"/>
    <x v="1"/>
    <n v="2"/>
    <x v="1"/>
    <s v="Sistema de registro electrónico funcional"/>
    <s v="Sistema de seguimento e avaliação do Programa fortalecido"/>
    <m/>
    <n v="0"/>
    <m/>
    <n v="0"/>
    <m/>
    <m/>
    <n v="0"/>
    <m/>
    <m/>
    <m/>
    <m/>
  </r>
  <r>
    <n v="48"/>
    <s v="2.5"/>
    <s v="Produção e difusão de relatórios trimestrais "/>
    <x v="2"/>
    <x v="1"/>
    <n v="2"/>
    <x v="1"/>
    <s v="relatorios produzidos e difundidos"/>
    <s v="Sistema de seguimento e avaliação do Programa fortalecido"/>
    <m/>
    <n v="1593.33"/>
    <m/>
    <n v="1593.33"/>
    <n v="1593.33"/>
    <m/>
    <m/>
    <m/>
    <m/>
    <m/>
    <m/>
  </r>
  <r>
    <n v="49"/>
    <s v="2.6"/>
    <s v="Organizar a avaliação (interna e externa) do plano estratégico  "/>
    <x v="1"/>
    <x v="1"/>
    <n v="2"/>
    <x v="1"/>
    <s v="Relatorio da avaliação disponível)"/>
    <s v="Sistema de seguimento e avaliação do Programa fortalecido"/>
    <m/>
    <n v="20261.940000000002"/>
    <m/>
    <n v="20261.940000000002"/>
    <n v="20261.940000000002"/>
    <m/>
    <m/>
    <m/>
    <m/>
    <m/>
    <m/>
  </r>
  <r>
    <n v="50"/>
    <s v="2.7"/>
    <s v="Atelie de 5 dias com 10 técnicos estatísticos para preenchimento das fichas e livro de registo"/>
    <x v="2"/>
    <x v="1"/>
    <n v="2"/>
    <x v="1"/>
    <s v="Relatorio do atiliê"/>
    <s v="Sistema de seguimento e avaliação do Programa fortalecido"/>
    <m/>
    <m/>
    <m/>
    <n v="0"/>
    <n v="0"/>
    <m/>
    <m/>
    <m/>
    <m/>
    <m/>
    <m/>
  </r>
  <r>
    <n v="51"/>
    <s v="2.8"/>
    <s v="Organizar encontro para restituição dos dados"/>
    <x v="2"/>
    <x v="1"/>
    <n v="2"/>
    <x v="1"/>
    <s v="Dados restituidos"/>
    <s v="Sistema de seguimento e avaliação do Programa fortalecido"/>
    <m/>
    <n v="374.67"/>
    <m/>
    <n v="374.67"/>
    <n v="374.67"/>
    <m/>
    <m/>
    <m/>
    <m/>
    <m/>
    <m/>
  </r>
  <r>
    <n v="52"/>
    <s v="3.1"/>
    <s v="Elaborar e reproduzir Kit de Comunicação com mensagens chaves de TB (folhetos, cartazes, bandeirolas, painel gigante e álbum seriado)(colocar antes das palestras)"/>
    <x v="1"/>
    <x v="2"/>
    <n v="3"/>
    <x v="4"/>
    <s v="Número de KIT elaborados e disponíveis"/>
    <s v="Conhecimento da população sobre a TB melhorado"/>
    <m/>
    <n v="3722.2200000000003"/>
    <m/>
    <n v="3722.2200000000003"/>
    <n v="3722.2200000000003"/>
    <m/>
    <m/>
    <m/>
    <m/>
    <m/>
    <m/>
  </r>
  <r>
    <n v="53"/>
    <s v="3.2"/>
    <s v="Elaborar/adaptar e difundir Spot televisivo e radiofónico"/>
    <x v="1"/>
    <x v="2"/>
    <n v="3"/>
    <x v="4"/>
    <s v="Numero de SPOT elaborados e difundidos"/>
    <s v="Conhecimento da população sobre a TB melhorado"/>
    <m/>
    <n v="3722.2200000000003"/>
    <m/>
    <n v="3722.2200000000003"/>
    <n v="3722.2200000000003"/>
    <m/>
    <m/>
    <m/>
    <m/>
    <m/>
    <m/>
  </r>
  <r>
    <n v="54"/>
    <s v="3.3"/>
    <s v="Realizar um Inquérito CAP"/>
    <x v="0"/>
    <x v="1"/>
    <n v="2"/>
    <x v="5"/>
    <s v="Relatorio de CAP disponível"/>
    <s v="Conhecimento da população sobre a TB melhorado"/>
    <m/>
    <n v="22000"/>
    <m/>
    <n v="22000"/>
    <n v="22000"/>
    <m/>
    <m/>
    <m/>
    <m/>
    <m/>
    <m/>
  </r>
  <r>
    <s v="54.1"/>
    <s v="3.3.1"/>
    <s v="Realizar um Estudo sobre a mortalidade por TB"/>
    <x v="1"/>
    <x v="1"/>
    <n v="2"/>
    <x v="5"/>
    <m/>
    <m/>
    <m/>
    <m/>
    <m/>
    <n v="0"/>
    <n v="0"/>
    <m/>
    <m/>
    <m/>
    <m/>
    <m/>
    <m/>
  </r>
  <r>
    <n v="54.2"/>
    <s v="3.3.2"/>
    <s v="Realizar um Estudo sobre a Co-infecção TB/VIH"/>
    <x v="1"/>
    <x v="1"/>
    <n v="2"/>
    <x v="5"/>
    <m/>
    <m/>
    <m/>
    <n v="11000"/>
    <m/>
    <n v="11000"/>
    <n v="11000"/>
    <m/>
    <m/>
    <m/>
    <m/>
    <m/>
    <m/>
  </r>
  <r>
    <n v="55"/>
    <s v="3.4"/>
    <s v="Organizar sessões de advocacia junto aos decisores políticos e parceiros."/>
    <x v="0"/>
    <x v="0"/>
    <n v="1"/>
    <x v="0"/>
    <s v=" Numero Decisores e parceiros colaborando nas actividades de luta contra a tuberculose"/>
    <s v="Conhecimento da população sobre a TB melhorado"/>
    <m/>
    <n v="92.829999999999984"/>
    <m/>
    <n v="92.829999999999984"/>
    <m/>
    <m/>
    <m/>
    <m/>
    <n v="92.829999999999984"/>
    <m/>
    <m/>
  </r>
  <r>
    <n v="56"/>
    <s v="3.5"/>
    <s v="Formar (100) ASC e activistas (em gestão das actividades comunitária/sensibilização sobre TB)."/>
    <x v="1"/>
    <x v="2"/>
    <n v="3"/>
    <x v="6"/>
    <s v="Numero de pessoal formados"/>
    <s v="Conhecimento da população sobre a TB melhorado"/>
    <m/>
    <n v="0"/>
    <m/>
    <n v="0"/>
    <n v="0"/>
    <m/>
    <m/>
    <m/>
    <m/>
    <m/>
    <m/>
  </r>
  <r>
    <n v="57"/>
    <s v="3.5.1"/>
    <s v="Reciclar (100) ASC e activistas (em gestão das actividades comunitária/sensibilização sobre TB)."/>
    <x v="0"/>
    <x v="2"/>
    <n v="3"/>
    <x v="6"/>
    <m/>
    <s v="Conhecimento da população sobre a TB melhorado"/>
    <m/>
    <n v="0"/>
    <m/>
    <n v="0"/>
    <m/>
    <m/>
    <m/>
    <m/>
    <m/>
    <m/>
    <n v="0"/>
  </r>
  <r>
    <n v="58"/>
    <s v="3.6"/>
    <s v="Realizar palestras de sensibilização ( na escola, igrejas, prisão, quartel militar, Jornalistas e nas comunidades)"/>
    <x v="1"/>
    <x v="2"/>
    <n v="3"/>
    <x v="4"/>
    <s v="Numero de palestras realizadas"/>
    <s v="Conhecimento da população sobre a TB melhorado"/>
    <m/>
    <n v="18499.990000000002"/>
    <m/>
    <n v="18499.990000000002"/>
    <n v="18499.990000000002"/>
    <m/>
    <m/>
    <m/>
    <m/>
    <m/>
    <m/>
  </r>
  <r>
    <n v="59"/>
    <s v="3.7"/>
    <s v="Organização do dia Mundial de Luta contra TB"/>
    <x v="0"/>
    <x v="2"/>
    <n v="3"/>
    <x v="4"/>
    <s v="Relatório disponível"/>
    <s v="Conhecimento da população sobre a TB melhorado"/>
    <m/>
    <n v="11333.33"/>
    <m/>
    <n v="11333.33"/>
    <n v="11333.33"/>
    <m/>
    <m/>
    <m/>
    <m/>
    <m/>
    <m/>
  </r>
  <r>
    <n v="60"/>
    <s v="3.8"/>
    <s v="Formar 30 Jornalistas (rádio, televisão, jornal), 3 dias, Ano 1 "/>
    <x v="0"/>
    <x v="2"/>
    <n v="3"/>
    <x v="4"/>
    <m/>
    <s v="Conhecimento da população sobre a TB melhorado"/>
    <m/>
    <n v="0"/>
    <m/>
    <n v="0"/>
    <n v="0"/>
    <m/>
    <m/>
    <m/>
    <m/>
    <m/>
    <m/>
  </r>
  <r>
    <n v="61"/>
    <s v="3.9"/>
    <s v="Reciclar 30 Jornalistas (rádio, televisão, jornal), 3 dias, Ano 2"/>
    <x v="0"/>
    <x v="2"/>
    <n v="3"/>
    <x v="4"/>
    <m/>
    <s v="Conhecimento da população sobre a TB melhorado"/>
    <m/>
    <n v="5187.92"/>
    <m/>
    <n v="5187.92"/>
    <m/>
    <m/>
    <m/>
    <m/>
    <m/>
    <m/>
    <n v="5187.92"/>
  </r>
  <r>
    <n v="62"/>
    <s v="4.1"/>
    <s v="Rehabilitar/adaptação de 6 laboratórios  "/>
    <x v="2"/>
    <x v="2"/>
    <n v="3"/>
    <x v="7"/>
    <s v="Numero de laboratórios reabilitados/adapatados"/>
    <s v="Casos de tuberculose diagnosticados"/>
    <m/>
    <n v="0"/>
    <m/>
    <n v="0"/>
    <n v="0"/>
    <m/>
    <m/>
    <m/>
    <m/>
    <m/>
    <m/>
  </r>
  <r>
    <n v="63"/>
    <s v="4.2"/>
    <s v="Equipar os laboratórios( microscópios, bico de busen...)"/>
    <x v="1"/>
    <x v="2"/>
    <n v="3"/>
    <x v="7"/>
    <s v="Numero de laboratorios equipados"/>
    <s v="Casos de tuberculose diagnosticados"/>
    <m/>
    <n v="0"/>
    <m/>
    <n v="0"/>
    <n v="0"/>
    <m/>
    <m/>
    <m/>
    <m/>
    <m/>
    <m/>
  </r>
  <r>
    <n v="64"/>
    <s v="4.3"/>
    <s v="Aprovisionar as estruturas em consumíveis de laboratório (laminas, luvas, embaços, reagentes, mala térmica, palitos…) "/>
    <x v="1"/>
    <x v="2"/>
    <n v="3"/>
    <x v="7"/>
    <s v="Numero de dias de rutura de Stoks"/>
    <s v="Casos de tuberculose diagnosticados"/>
    <m/>
    <n v="18372"/>
    <m/>
    <n v="18372"/>
    <n v="18372"/>
    <m/>
    <m/>
    <m/>
    <m/>
    <m/>
    <m/>
  </r>
  <r>
    <n v="65"/>
    <s v="4.4.1"/>
    <s v="Assegurar o controlo de qualidade externo supranacional"/>
    <x v="1"/>
    <x v="2"/>
    <n v="3"/>
    <x v="7"/>
    <s v="Numero de laboaratorio que interveem no controlo de qualidade"/>
    <s v="Casos de tuberculose diagnosticados"/>
    <m/>
    <n v="5701.36"/>
    <m/>
    <n v="5701.36"/>
    <n v="5701.36"/>
    <m/>
    <m/>
    <m/>
    <m/>
    <m/>
    <m/>
  </r>
  <r>
    <n v="66"/>
    <s v="4.4.1.1"/>
    <s v="Assistencia Técnica parao o controlo de qualidade externo supranacional"/>
    <x v="1"/>
    <x v="2"/>
    <n v="3"/>
    <x v="7"/>
    <m/>
    <s v="Casos de tuberculose diagnosticados"/>
    <m/>
    <n v="7701.97"/>
    <m/>
    <n v="7701.97"/>
    <n v="7701.97"/>
    <m/>
    <m/>
    <m/>
    <m/>
    <m/>
    <m/>
  </r>
  <r>
    <n v="67"/>
    <s v="4.4.2"/>
    <s v="Realizar controlo de qualidade das lâminas no laboratório nacional de referência, trimestralmente durante 5 anos"/>
    <x v="1"/>
    <x v="2"/>
    <n v="3"/>
    <x v="7"/>
    <s v="Numero de laboaratorio que interveem no controlo de qualidade "/>
    <s v="Casos de tuberculose diagnosticados"/>
    <m/>
    <n v="7592.33"/>
    <m/>
    <n v="7592.33"/>
    <n v="7592.33"/>
    <m/>
    <m/>
    <m/>
    <m/>
    <m/>
    <m/>
  </r>
  <r>
    <n v="68"/>
    <s v="4.7.1"/>
    <s v="Formar 25 Técnicos de Laboratórios (14 CDT, Incluindo 2 RAP, 6 HAM e 3 LNR) realização de Baciloscopia e controlo de qualidade (CQ) (1 sessão de 5 dias no Ano 1)"/>
    <x v="0"/>
    <x v="2"/>
    <n v="3"/>
    <x v="7"/>
    <s v="Nº de técnicos de laboratório formados"/>
    <s v="Casos de tuberculose diagnosticados"/>
    <m/>
    <n v="0"/>
    <m/>
    <n v="0"/>
    <m/>
    <m/>
    <m/>
    <m/>
    <m/>
    <m/>
    <n v="0"/>
  </r>
  <r>
    <n v="69"/>
    <s v="4.7.2"/>
    <s v="Reciclar 25 Técnicos de Laboratórios (14 CDT, Incluindo 2 RAP, 6 HAM E 3 LNR) realização de Baciloscopia e controlo de qualidade (CQ) (1 sessão de 5 dias no Ano 3)"/>
    <x v="0"/>
    <x v="2"/>
    <n v="3"/>
    <x v="7"/>
    <s v="Nº de técnicos de laboratório formados"/>
    <s v="Casos de tuberculose diagnosticados"/>
    <m/>
    <n v="7622.22"/>
    <m/>
    <n v="7622.22"/>
    <m/>
    <m/>
    <m/>
    <m/>
    <m/>
    <m/>
    <n v="7622.22"/>
  </r>
  <r>
    <n v="70"/>
    <s v="4.8"/>
    <s v="Implementar o APSR (directrizes nacionais de APSR, guia de gestão de casos: de contactos e SR)"/>
    <x v="1"/>
    <x v="2"/>
    <n v="3"/>
    <x v="7"/>
    <s v="Diretrizes de APSR disponível"/>
    <s v="Casos de tuberculose diagnosticados"/>
    <m/>
    <n v="0"/>
    <m/>
    <n v="0"/>
    <n v="0"/>
    <m/>
    <m/>
    <m/>
    <m/>
    <m/>
    <m/>
  </r>
  <r>
    <n v="71"/>
    <s v="4.8.1"/>
    <s v="Financiamento das RX dos suspeitos e 325 pacientes TB "/>
    <x v="0"/>
    <x v="2"/>
    <n v="3"/>
    <x v="7"/>
    <s v="Diretrizes de APSR disponível"/>
    <s v="Casos de tuberculose diagnosticados"/>
    <m/>
    <n v="2708.33"/>
    <m/>
    <n v="2708.33"/>
    <m/>
    <m/>
    <m/>
    <m/>
    <n v="2708.33"/>
    <m/>
    <m/>
  </r>
  <r>
    <n v="72"/>
    <s v="4.9"/>
    <s v="1.9.Organizar visitas domiciliares em busca de contactos dos casos positivos, perdidos de vista."/>
    <x v="1"/>
    <x v="2"/>
    <n v="3"/>
    <x v="7"/>
    <s v="Numero de conctatos notificados e seguidos"/>
    <s v="Casos de tuberculose diagnosticados"/>
    <m/>
    <n v="7140"/>
    <m/>
    <n v="7140"/>
    <m/>
    <m/>
    <m/>
    <m/>
    <m/>
    <m/>
    <n v="7140"/>
  </r>
  <r>
    <n v="73"/>
    <s v="4.10.1"/>
    <s v="Formar 15 formadores sobre Sintomáticos Respiratórios, 1 sessão de 5 dias no Ano 1 "/>
    <x v="0"/>
    <x v="2"/>
    <n v="3"/>
    <x v="7"/>
    <s v="Numero de pretadores de cuidados de saude capacitados"/>
    <s v="Casos de tuberculose diagnosticados"/>
    <m/>
    <n v="0"/>
    <m/>
    <n v="0"/>
    <m/>
    <m/>
    <m/>
    <m/>
    <m/>
    <m/>
    <n v="0"/>
  </r>
  <r>
    <n v="74"/>
    <s v="4.10.2"/>
    <s v="Formar 100 tecnicos de saude sobre Sintomáticos Respiratórios, 4 sessão de 5 dias no Ano 1 "/>
    <x v="0"/>
    <x v="2"/>
    <n v="3"/>
    <x v="7"/>
    <s v="Numero de pretadores de cuidados de saude capacitados"/>
    <s v="Casos de tuberculose diagnosticados"/>
    <m/>
    <n v="0"/>
    <m/>
    <n v="0"/>
    <n v="0"/>
    <m/>
    <m/>
    <m/>
    <m/>
    <m/>
    <m/>
  </r>
  <r>
    <n v="75"/>
    <s v="4.10.3"/>
    <s v="Reciclar 100 tecnicos de saude sobre Sintomáticos Respiratórios, 4 sessão de 5 dias no Ano 2"/>
    <x v="0"/>
    <x v="2"/>
    <n v="3"/>
    <x v="7"/>
    <m/>
    <s v="Casos de tuberculose diagnosticados"/>
    <m/>
    <n v="20725.560000000001"/>
    <m/>
    <n v="20725.560000000001"/>
    <n v="20725.560000000001"/>
    <m/>
    <m/>
    <m/>
    <m/>
    <m/>
    <m/>
  </r>
  <r>
    <n v="76"/>
    <s v="4.11"/>
    <s v="1.12.Supervisionar trimestralmente os CDT "/>
    <x v="1"/>
    <x v="2"/>
    <n v="3"/>
    <x v="7"/>
    <s v="Numero de pretadores de cuidados de saude capacitados"/>
    <s v="Casos de tuberculose diagnosticados"/>
    <m/>
    <n v="3788.65"/>
    <m/>
    <n v="3788.65"/>
    <n v="3788.65"/>
    <m/>
    <m/>
    <m/>
    <m/>
    <m/>
    <m/>
  </r>
  <r>
    <n v="77"/>
    <s v="4.12"/>
    <s v="Aquisição de combustível para os distritos no apoio ao DOT ao nível comunitário"/>
    <x v="1"/>
    <x v="2"/>
    <n v="3"/>
    <x v="7"/>
    <m/>
    <s v="Casos de tuberculose diagnosticados"/>
    <m/>
    <n v="3070.2"/>
    <m/>
    <n v="3070.2"/>
    <n v="3070.2"/>
    <m/>
    <m/>
    <m/>
    <m/>
    <m/>
    <m/>
  </r>
  <r>
    <n v="78"/>
    <s v="4.13"/>
    <s v="Adquirir um microscopio de LED"/>
    <x v="1"/>
    <x v="2"/>
    <n v="3"/>
    <x v="7"/>
    <m/>
    <s v="Casos de tuberculose diagnosticados"/>
    <m/>
    <n v="0"/>
    <m/>
    <n v="0"/>
    <n v="0"/>
    <m/>
    <m/>
    <m/>
    <m/>
    <m/>
    <m/>
  </r>
  <r>
    <n v="79"/>
    <s v="5.1"/>
    <s v="Revisão  e impressão (do guia de manejo de caso de TB, modulos de formação)"/>
    <x v="1"/>
    <x v="2"/>
    <n v="3"/>
    <x v="8"/>
    <s v="Numero de documentos impressos"/>
    <s v="100% de casos detectados tratados"/>
    <m/>
    <n v="0"/>
    <m/>
    <n v="0"/>
    <n v="0"/>
    <m/>
    <m/>
    <m/>
    <m/>
    <m/>
    <m/>
  </r>
  <r>
    <n v="80"/>
    <s v="5.2"/>
    <s v="Assegurar o aprovisionamento em antituberculosos de 1º linha (pacote)"/>
    <x v="1"/>
    <x v="2"/>
    <n v="3"/>
    <x v="8"/>
    <s v="Numero de dias de ruptura"/>
    <s v="100% de casos detectados tratados"/>
    <m/>
    <n v="4370"/>
    <m/>
    <n v="4370"/>
    <m/>
    <m/>
    <m/>
    <n v="4370"/>
    <m/>
    <m/>
    <m/>
  </r>
  <r>
    <n v="81"/>
    <s v="5.2.1"/>
    <s v="Adquirir medicamentos para retratamento de 53 doentes durante 5 Anos"/>
    <x v="1"/>
    <x v="2"/>
    <n v="3"/>
    <x v="8"/>
    <m/>
    <s v="100% de casos detectados tratados"/>
    <m/>
    <n v="832"/>
    <m/>
    <n v="832"/>
    <m/>
    <m/>
    <m/>
    <n v="832"/>
    <m/>
    <m/>
    <m/>
  </r>
  <r>
    <n v="82"/>
    <s v="5.2.2"/>
    <s v="Adquirir medicamentos de primeira linha para tratar um total de 19 crianças durante 5 Anos"/>
    <x v="1"/>
    <x v="2"/>
    <n v="3"/>
    <x v="8"/>
    <m/>
    <s v="100% de casos detectados tratados"/>
    <m/>
    <n v="110"/>
    <m/>
    <n v="110"/>
    <m/>
    <m/>
    <m/>
    <n v="110"/>
    <m/>
    <m/>
    <m/>
  </r>
  <r>
    <n v="83"/>
    <s v="5.3"/>
    <s v="Assegurar o controlo de qualidade nacional (CQ) dos medicamentos nos postos de distribuição (laboratório a ser identificado)"/>
    <x v="1"/>
    <x v="2"/>
    <n v="3"/>
    <x v="8"/>
    <s v="Numero de relatório de CQ"/>
    <s v="100% de casos detectados tratados"/>
    <m/>
    <n v="1134.3599999999999"/>
    <m/>
    <n v="1134.3599999999999"/>
    <n v="1134.3599999999999"/>
    <m/>
    <m/>
    <m/>
    <m/>
    <m/>
    <m/>
  </r>
  <r>
    <n v="84"/>
    <s v="5.4"/>
    <s v="Formar 24 supervisores (supervisão integrada), uma secção de 5 dias."/>
    <x v="0"/>
    <x v="1"/>
    <n v="2"/>
    <x v="1"/>
    <s v="Numero de supervisosres formados"/>
    <s v="100% de casos detectados tratados"/>
    <m/>
    <n v="0"/>
    <m/>
    <n v="0"/>
    <m/>
    <m/>
    <m/>
    <m/>
    <m/>
    <m/>
    <n v="0"/>
  </r>
  <r>
    <n v="85"/>
    <s v="5.5"/>
    <s v="Supervisionar os prestadores de cuidados de saúde"/>
    <x v="1"/>
    <x v="1"/>
    <n v="2"/>
    <x v="1"/>
    <s v="Numero de visitas de supervisão "/>
    <s v="100% de casos detectados tratados"/>
    <m/>
    <n v="3182.41"/>
    <m/>
    <n v="3182.41"/>
    <n v="3182.41"/>
    <m/>
    <m/>
    <m/>
    <m/>
    <m/>
    <m/>
  </r>
  <r>
    <n v="86"/>
    <s v="5.6"/>
    <s v="Assegurar a aplicação do tratamento directamente observado"/>
    <x v="1"/>
    <x v="2"/>
    <n v="3"/>
    <x v="8"/>
    <s v="Percentagem de estruturas que aplicam TODO"/>
    <s v="100% de casos detectados tratados"/>
    <m/>
    <n v="3070.2"/>
    <m/>
    <n v="3070.2"/>
    <n v="3070.2"/>
    <m/>
    <m/>
    <m/>
    <m/>
    <m/>
    <m/>
  </r>
  <r>
    <n v="87"/>
    <s v="5.7.1"/>
    <s v=" Formar 50 Activistas de ONG, Associações Locais e (10) Socoristas para sensibilização das comunidades sobre TB  (TB/HIV; TB/MR)- (5 Dias, em 2 sessões de 20 pessoas em ST e uma sessão de 10 pessoas na RAP, Ano 1)"/>
    <x v="2"/>
    <x v="2"/>
    <n v="3"/>
    <x v="6"/>
    <m/>
    <s v="100% de casos detectados tratados"/>
    <m/>
    <n v="0"/>
    <m/>
    <n v="0"/>
    <n v="0"/>
    <m/>
    <m/>
    <m/>
    <m/>
    <m/>
    <m/>
  </r>
  <r>
    <n v="88"/>
    <s v="5.7.2"/>
    <s v=" Reciclar 50 Activistas de ONG, Associações Locais e (10) Socoristas para sensibilização das comunidades sobre TB  (TB/HIV; TB/MR)- (5 Dias, em 2 sessões de 20 pessoas em ST e uma sessão de 10 pessoas na RAP, ano 3)"/>
    <x v="2"/>
    <x v="2"/>
    <n v="3"/>
    <x v="6"/>
    <m/>
    <s v="100% de casos detectados tratados"/>
    <m/>
    <n v="11856.72"/>
    <m/>
    <n v="11856.72"/>
    <m/>
    <m/>
    <m/>
    <m/>
    <m/>
    <m/>
    <n v="11856.72"/>
  </r>
  <r>
    <n v="89"/>
    <s v="5.8"/>
    <s v="Apoio nutricional e Psico-social à 150 pacientes, durante 5 anos"/>
    <x v="0"/>
    <x v="2"/>
    <n v="3"/>
    <x v="8"/>
    <m/>
    <s v="100% de casos detectados tratados"/>
    <m/>
    <n v="3000"/>
    <m/>
    <n v="3000"/>
    <m/>
    <m/>
    <m/>
    <m/>
    <m/>
    <m/>
    <n v="3000"/>
  </r>
  <r>
    <n v="90"/>
    <s v="5.9"/>
    <s v="Formar e reciclar Médicos em manejo dos casos e estratégia Stop TB, co-infecção TB/HIV (5 Dias, 40 participantes) 20 participantes no ano 1 e 20 no ano 3"/>
    <x v="1"/>
    <x v="2"/>
    <n v="3"/>
    <x v="8"/>
    <m/>
    <s v="100% de casos detectados tratados"/>
    <m/>
    <n v="6143.39"/>
    <m/>
    <n v="6143.39"/>
    <m/>
    <m/>
    <m/>
    <m/>
    <m/>
    <m/>
    <n v="6143.39"/>
  </r>
  <r>
    <n v="91"/>
    <s v="5.10"/>
    <s v=" Formar 100 enfermeiros em manejo dos casos e estratégia Stop TB, co-infecção TB/HIV e  (2 sessões por ano de 5 Dias 50 no ano 1 e 50 no ano 3), Sendo 80 ST+20 RAP"/>
    <x v="1"/>
    <x v="2"/>
    <n v="3"/>
    <x v="8"/>
    <m/>
    <s v="100% de casos detectados tratados"/>
    <m/>
    <n v="9806.06"/>
    <m/>
    <n v="9806.06"/>
    <m/>
    <m/>
    <m/>
    <m/>
    <m/>
    <m/>
    <n v="9806.06"/>
  </r>
  <r>
    <n v="92"/>
    <s v="5.11"/>
    <s v="Gestão dos efeitos secundários "/>
    <x v="1"/>
    <x v="2"/>
    <n v="3"/>
    <x v="8"/>
    <m/>
    <s v="100% de casos detectados tratados"/>
    <m/>
    <n v="2500"/>
    <m/>
    <n v="2500"/>
    <m/>
    <m/>
    <m/>
    <m/>
    <n v="2500"/>
    <m/>
    <m/>
  </r>
  <r>
    <n v="93"/>
    <s v="6.1"/>
    <s v="Implementar o órgão de coordenação central e distrital das actividades de colaboração TB/HIV "/>
    <x v="1"/>
    <x v="3"/>
    <n v="4"/>
    <x v="9"/>
    <s v="Realização de uma reunião anual"/>
    <s v="prestação de serv. Integ. TB/HIV"/>
    <m/>
    <n v="0"/>
    <m/>
    <n v="0"/>
    <n v="0"/>
    <n v="0"/>
    <n v="0"/>
    <n v="0"/>
    <n v="0"/>
    <m/>
    <n v="0"/>
  </r>
  <r>
    <n v="94"/>
    <s v="6.2"/>
    <s v="Elaborar um Guia Nacional de Co-infeccção"/>
    <x v="1"/>
    <x v="3"/>
    <n v="4"/>
    <x v="9"/>
    <s v=" Guia nacional de coinfecção disponível"/>
    <s v="prestação de serv. Integ. TB/HIV"/>
    <m/>
    <n v="0"/>
    <m/>
    <n v="0"/>
    <m/>
    <m/>
    <m/>
    <m/>
    <m/>
    <m/>
    <n v="0"/>
  </r>
  <r>
    <n v="95"/>
    <s v="6.3"/>
    <s v="Colaborar na Integração dos instrumentos de registos e de reportagem de PNLS  para seguir as actividades  de 3 Is."/>
    <x v="1"/>
    <x v="3"/>
    <n v="4"/>
    <x v="9"/>
    <s v="Iinstrumentos de registos e de reportagem das actividades adaptados e disponíveis"/>
    <s v="prestação de serv. Integ. TB/HIV"/>
    <m/>
    <n v="0"/>
    <m/>
    <n v="0"/>
    <n v="0"/>
    <n v="0"/>
    <n v="0"/>
    <n v="0"/>
    <n v="0"/>
    <m/>
    <n v="0"/>
  </r>
  <r>
    <n v="96"/>
    <s v="6.4"/>
    <s v="Organizar reuniões de planificação e seguimento das actividades trimestralmente"/>
    <x v="1"/>
    <x v="3"/>
    <n v="4"/>
    <x v="9"/>
    <s v="Nº de reuniões realizadas"/>
    <s v="prestação de serv. Integ. TB/HIV"/>
    <m/>
    <n v="366.67"/>
    <m/>
    <n v="366.67"/>
    <n v="366.67"/>
    <m/>
    <m/>
    <m/>
    <m/>
    <m/>
    <m/>
  </r>
  <r>
    <n v="97"/>
    <s v="6.5"/>
    <s v="Aprovisionar as unidades sanitárias com a isoniazida aos pacientes de HIV elegíveis (4.771 pacientes previsto nos 5 anos)"/>
    <x v="1"/>
    <x v="3"/>
    <n v="4"/>
    <x v="10"/>
    <s v="Nº de Isoniasida destribuidos"/>
    <s v="prestação de serv. Integ. TB/HIV"/>
    <m/>
    <n v="963"/>
    <m/>
    <n v="963"/>
    <m/>
    <m/>
    <m/>
    <m/>
    <n v="963"/>
    <m/>
    <m/>
  </r>
  <r>
    <n v="98"/>
    <s v="6.6"/>
    <s v="Assegurar a despistagem da TB (teste PPD)"/>
    <x v="1"/>
    <x v="3"/>
    <n v="4"/>
    <x v="10"/>
    <s v="numero e percentagem de PVHVI testados"/>
    <s v="prestação de serv. Integ. TB/HIV"/>
    <m/>
    <n v="1262.48"/>
    <m/>
    <n v="1262.48"/>
    <m/>
    <m/>
    <m/>
    <m/>
    <m/>
    <m/>
    <n v="1262.48"/>
  </r>
  <r>
    <n v="99"/>
    <s v="6.8"/>
    <s v="Reforçar o aconselhamento da prevenção do VIH nos doentes TB"/>
    <x v="1"/>
    <x v="3"/>
    <n v="4"/>
    <x v="9"/>
    <m/>
    <s v="prestação de serv. Integ. TB/HIV"/>
    <m/>
    <n v="0"/>
    <m/>
    <n v="0"/>
    <m/>
    <m/>
    <m/>
    <m/>
    <m/>
    <m/>
    <n v="0"/>
  </r>
  <r>
    <n v="100"/>
    <s v="6.9"/>
    <s v="Reforçar as capacidades dos prestadores de cuidados de saúde em TB/HIV (Médicos, 100 enfermeiros,"/>
    <x v="1"/>
    <x v="3"/>
    <n v="4"/>
    <x v="9"/>
    <s v="Nº de médicos formados em TB/HIV"/>
    <s v="prestação de serv. Integ. TB/HIV"/>
    <m/>
    <n v="0"/>
    <m/>
    <n v="0"/>
    <m/>
    <m/>
    <m/>
    <m/>
    <m/>
    <m/>
    <n v="0"/>
  </r>
  <r>
    <n v="101"/>
    <s v="6.10"/>
    <s v="Determinar a prevalência d de TB nas pessoas que vivem com VIH "/>
    <x v="1"/>
    <x v="3"/>
    <n v="4"/>
    <x v="10"/>
    <s v="Prevalência de TB nas pessoas que vivem com HIV"/>
    <s v="prestação de serv. Integ. TB/HIV"/>
    <m/>
    <n v="2621.6928999999996"/>
    <m/>
    <n v="2621.6928999999996"/>
    <m/>
    <m/>
    <m/>
    <m/>
    <n v="2621.6928999999996"/>
    <m/>
    <m/>
  </r>
  <r>
    <n v="102"/>
    <s v="6.11"/>
    <s v="Determinar VIH nos pacientes com TB através dos postos sentinelas"/>
    <x v="1"/>
    <x v="3"/>
    <n v="4"/>
    <x v="10"/>
    <s v="Prevalência de VIH nos pacientes TB"/>
    <s v="prestação de serv. Integ. TB/HIV"/>
    <m/>
    <n v="0"/>
    <m/>
    <n v="0"/>
    <n v="0"/>
    <n v="0"/>
    <n v="0"/>
    <n v="0"/>
    <n v="0"/>
    <m/>
    <n v="0"/>
  </r>
  <r>
    <n v="103"/>
    <s v="6.12"/>
    <s v="Formar 15 formadores em TB/HIV, 1 secção de 5 dias no Ano 2"/>
    <x v="1"/>
    <x v="3"/>
    <n v="4"/>
    <x v="9"/>
    <m/>
    <s v="prestação de serv. Integ. TB/HIV"/>
    <m/>
    <n v="0"/>
    <m/>
    <n v="0"/>
    <n v="0"/>
    <m/>
    <m/>
    <m/>
    <m/>
    <m/>
    <m/>
  </r>
  <r>
    <n v="104"/>
    <s v="6.13"/>
    <s v="Reciclar 15 formadores em TB/HIV, 1 secção de 5 dias no Ano 4"/>
    <x v="1"/>
    <x v="3"/>
    <n v="4"/>
    <x v="9"/>
    <m/>
    <s v="prestação de serv. Integ. TB/HIV"/>
    <m/>
    <n v="9994.2199999999993"/>
    <m/>
    <n v="9994.2199999999993"/>
    <n v="9994.2199999999993"/>
    <m/>
    <m/>
    <m/>
    <m/>
    <m/>
    <m/>
  </r>
  <r>
    <n v="105"/>
    <s v="6.14"/>
    <s v="Adquirir cotrimoxazol"/>
    <x v="1"/>
    <x v="3"/>
    <n v="4"/>
    <x v="10"/>
    <m/>
    <s v="prestação de serv. Integ. TB/HIV"/>
    <m/>
    <n v="0"/>
    <m/>
    <n v="0"/>
    <n v="0"/>
    <n v="0"/>
    <n v="0"/>
    <n v="0"/>
    <n v="0"/>
    <m/>
    <n v="0"/>
  </r>
  <r>
    <n v="106"/>
    <s v="6.15"/>
    <s v="Adquirir ARV"/>
    <x v="1"/>
    <x v="3"/>
    <n v="4"/>
    <x v="10"/>
    <m/>
    <s v="prestação de serv. Integ. TB/HIV"/>
    <m/>
    <n v="0"/>
    <m/>
    <n v="0"/>
    <n v="0"/>
    <n v="0"/>
    <n v="0"/>
    <n v="0"/>
    <n v="0"/>
    <m/>
    <n v="0"/>
  </r>
  <r>
    <n v="107"/>
    <s v="6.16"/>
    <s v="Adquirir teste de VIH"/>
    <x v="1"/>
    <x v="3"/>
    <n v="4"/>
    <x v="10"/>
    <m/>
    <s v="prestação de serv. Integ. TB/HIV"/>
    <m/>
    <n v="0"/>
    <m/>
    <n v="0"/>
    <n v="0"/>
    <n v="0"/>
    <n v="0"/>
    <n v="0"/>
    <n v="0"/>
    <m/>
    <n v="0"/>
  </r>
  <r>
    <n v="108"/>
    <s v="6.17"/>
    <s v="Colaborar na Integração dos instrumentos de registos e de reportagem para seguir as actividades de 3 Is."/>
    <x v="1"/>
    <x v="3"/>
    <n v="4"/>
    <x v="9"/>
    <m/>
    <s v="prestação de serv. Integ. TB/HIV"/>
    <m/>
    <n v="2000"/>
    <m/>
    <n v="2000"/>
    <m/>
    <m/>
    <m/>
    <m/>
    <m/>
    <m/>
    <n v="2000"/>
  </r>
  <r>
    <n v="109"/>
    <s v="6.18"/>
    <s v="Atelier para Elaboração da politica de controlo de infecção (25 participantes durante 5 dias)"/>
    <x v="1"/>
    <x v="3"/>
    <n v="4"/>
    <x v="9"/>
    <m/>
    <s v="prestação de serv. Integ. TB/HIV"/>
    <m/>
    <n v="0"/>
    <m/>
    <n v="0"/>
    <m/>
    <m/>
    <m/>
    <m/>
    <n v="0"/>
    <m/>
    <m/>
  </r>
  <r>
    <n v="110"/>
    <s v="7.1"/>
    <s v="Rever reproduzir o guia de Gestão de TB MR"/>
    <x v="1"/>
    <x v="4"/>
    <n v="5"/>
    <x v="11"/>
    <s v="Numero de guia disponivel"/>
    <s v="Capacidades de PNLT para gestão de  TB MR  reforçadas"/>
    <m/>
    <n v="2070.59"/>
    <m/>
    <n v="2070.59"/>
    <n v="2070.59"/>
    <m/>
    <m/>
    <m/>
    <m/>
    <m/>
    <m/>
  </r>
  <r>
    <n v="111"/>
    <s v="7.2"/>
    <s v="Elaborar o documento de politica de controlo de infecção TB nos serviços de saúde e estabelecimentos colectivos e respectivo plano"/>
    <x v="1"/>
    <x v="4"/>
    <n v="5"/>
    <x v="11"/>
    <s v="Documentos elaborados e  disponiveis"/>
    <s v="Capacidades de PNLT para gestão de  TB MR  reforçadas"/>
    <m/>
    <n v="0"/>
    <m/>
    <n v="0"/>
    <n v="0"/>
    <m/>
    <m/>
    <m/>
    <m/>
    <m/>
    <m/>
  </r>
  <r>
    <n v="112"/>
    <s v="7.3"/>
    <s v=" Formar  15 técnicos em gestão de TB MR, 1 sessão de 5 dias (ano 3 e ano 4)"/>
    <x v="0"/>
    <x v="4"/>
    <n v="5"/>
    <x v="11"/>
    <s v="Numero técnicos formados"/>
    <s v="Capacidades de PNLT para gestão de  TB MR  reforçadas"/>
    <m/>
    <n v="4411.3900000000003"/>
    <m/>
    <n v="4411.3900000000003"/>
    <n v="4411.3900000000003"/>
    <m/>
    <m/>
    <m/>
    <m/>
    <m/>
    <m/>
  </r>
  <r>
    <n v="113"/>
    <s v="7.4.1"/>
    <s v="Formar 2 técnicos de laboratório em cultura, no exteriordo país."/>
    <x v="1"/>
    <x v="4"/>
    <n v="5"/>
    <x v="12"/>
    <s v="Numero técnicos formados"/>
    <s v="Capacidades de PNLT para gestão de  TB MR  reforçadas"/>
    <m/>
    <n v="0"/>
    <m/>
    <n v="0"/>
    <n v="0"/>
    <n v="0"/>
    <m/>
    <m/>
    <m/>
    <m/>
    <m/>
  </r>
  <r>
    <n v="114"/>
    <s v="7.5"/>
    <s v=" Implementar o Laboratório de cultura e o teste de sensibilidade"/>
    <x v="1"/>
    <x v="4"/>
    <n v="5"/>
    <x v="12"/>
    <s v="Numero de exames realizados localmente"/>
    <s v="Capacidades de PNLT para gestão de  TB MR  reforçadas"/>
    <m/>
    <n v="0"/>
    <m/>
    <n v="0"/>
    <m/>
    <n v="0"/>
    <m/>
    <m/>
    <m/>
    <m/>
    <m/>
  </r>
  <r>
    <n v="115"/>
    <s v="7.6"/>
    <s v="Aprovisionar o país de uma de teste rápido (Gene-Xpert e cartuchos)"/>
    <x v="1"/>
    <x v="4"/>
    <n v="5"/>
    <x v="12"/>
    <s v="Numero de dias de ruptura"/>
    <s v="Capacidades de PNLT para gestão de  TB MR  reforçadas"/>
    <m/>
    <n v="21897"/>
    <m/>
    <n v="21897"/>
    <n v="21897"/>
    <m/>
    <m/>
    <m/>
    <m/>
    <m/>
    <m/>
  </r>
  <r>
    <n v="116"/>
    <s v="7.7"/>
    <s v="Aprovisionar o laboratório de cultura em consumíveis e reagente "/>
    <x v="1"/>
    <x v="4"/>
    <n v="5"/>
    <x v="12"/>
    <s v="Numero de dias de ruptura"/>
    <s v="Capacidades de PNLT para gestão de  TB MR  reforçadas"/>
    <m/>
    <n v="14400"/>
    <m/>
    <n v="14400"/>
    <n v="0"/>
    <n v="14400"/>
    <m/>
    <m/>
    <m/>
    <m/>
    <m/>
  </r>
  <r>
    <n v="117"/>
    <s v="7.8"/>
    <s v="Reforçar o sistema de transporte de amostras"/>
    <x v="1"/>
    <x v="4"/>
    <n v="5"/>
    <x v="12"/>
    <s v="Numero de amostras referidas das US"/>
    <s v="Capacidades de PNLT para gestão de  TB MR  reforçadas"/>
    <m/>
    <n v="1003.33"/>
    <m/>
    <n v="1003.33"/>
    <n v="1003.33"/>
    <m/>
    <m/>
    <m/>
    <m/>
    <m/>
    <m/>
  </r>
  <r>
    <n v="118"/>
    <s v="7.9"/>
    <s v="Criar e fazer funcionar um grupo de coordenação gestão para TB MR. (grupo técnico nacional)"/>
    <x v="0"/>
    <x v="4"/>
    <n v="5"/>
    <x v="11"/>
    <s v="Numero de relatorio das actividades"/>
    <s v="Capacidades de PNLT para gestão de  TB MR  reforçadas"/>
    <m/>
    <n v="0"/>
    <m/>
    <n v="0"/>
    <n v="0"/>
    <n v="0"/>
    <n v="0"/>
    <n v="0"/>
    <n v="0"/>
    <m/>
    <n v="0"/>
  </r>
  <r>
    <n v="119"/>
    <s v="7.10"/>
    <s v="Assegurar o tratamento de 2ªlinha a todos os casos de TBMR conforme as directrizes nacional (53 pacotes)"/>
    <x v="1"/>
    <x v="4"/>
    <n v="5"/>
    <x v="8"/>
    <s v="Numero de pacientes submetidos ao tratamento de 2ªlinha"/>
    <s v="Capacidades de PNLT para gestão de  TB MR  reforçadas"/>
    <m/>
    <n v="19674"/>
    <m/>
    <n v="19674"/>
    <n v="19674"/>
    <m/>
    <m/>
    <m/>
    <m/>
    <m/>
    <m/>
  </r>
  <r>
    <m/>
    <s v="7.11"/>
    <s v="Assegurar o manejo dos efeitos secundários"/>
    <x v="1"/>
    <x v="4"/>
    <n v="6"/>
    <x v="8"/>
    <m/>
    <m/>
    <m/>
    <n v="238.1"/>
    <m/>
    <n v="238.1"/>
    <m/>
    <m/>
    <m/>
    <m/>
    <n v="238.1"/>
    <m/>
    <m/>
  </r>
  <r>
    <n v="120"/>
    <s v="7.12"/>
    <s v="Assegurar Apoio nutricional e psico social"/>
    <x v="0"/>
    <x v="4"/>
    <n v="5"/>
    <x v="8"/>
    <s v="Percentagem de pacientes que recebem cesta básica"/>
    <s v="Capacidades de PNLT para gestão de  TB MR  reforçadas"/>
    <m/>
    <n v="9523.81"/>
    <m/>
    <n v="9523.81"/>
    <n v="9523.81"/>
    <m/>
    <m/>
    <m/>
    <m/>
    <m/>
    <m/>
  </r>
  <r>
    <n v="121"/>
    <s v="7.13"/>
    <s v="Assegurar a Vigilância da resistência (implementar a vigilância sentinela)"/>
    <x v="1"/>
    <x v="4"/>
    <n v="5"/>
    <x v="11"/>
    <s v="Relatório de vigilância sentinela disponivel"/>
    <s v="Capacidades de PNLT para gestão de  TB MR  reforçadas"/>
    <m/>
    <n v="1423.33"/>
    <m/>
    <n v="1423.33"/>
    <n v="1423.33"/>
    <m/>
    <m/>
    <m/>
    <m/>
    <m/>
    <m/>
  </r>
  <r>
    <n v="122"/>
    <s v="7.14"/>
    <s v="Supervisionar as actividades de rotina da TB MR mensalmente"/>
    <x v="1"/>
    <x v="4"/>
    <n v="5"/>
    <x v="11"/>
    <s v="Numero de supervisão realizadas"/>
    <s v="Capacidades de PNLT para gestão de  TB MR  reforçadas"/>
    <m/>
    <n v="747.33"/>
    <m/>
    <n v="747.33"/>
    <m/>
    <m/>
    <m/>
    <m/>
    <n v="747.33"/>
    <m/>
    <m/>
  </r>
  <r>
    <n v="123"/>
    <s v="7.15"/>
    <s v="Assegurar o envio de amostras de pacientes suspeitos para CPC, durante 5 anos"/>
    <x v="1"/>
    <x v="4"/>
    <n v="5"/>
    <x v="12"/>
    <m/>
    <s v="Capacidades de PNLT para gestão de  TB MR  reforçadas"/>
    <m/>
    <n v="0"/>
    <m/>
    <n v="0"/>
    <n v="0"/>
    <n v="0"/>
    <n v="0"/>
    <n v="0"/>
    <n v="0"/>
    <m/>
    <n v="0"/>
  </r>
  <r>
    <n v="124"/>
    <s v="7.16"/>
    <s v="Disponibilizar o plano de seguimento dos casos TB MR conforme as directrizes da OMS"/>
    <x v="0"/>
    <x v="4"/>
    <n v="5"/>
    <x v="11"/>
    <m/>
    <s v="Capacidades de PNLT para gestão de  TB MR  reforçadas"/>
    <m/>
    <n v="0"/>
    <m/>
    <n v="0"/>
    <n v="0"/>
    <n v="0"/>
    <n v="0"/>
    <n v="0"/>
    <n v="0"/>
    <m/>
    <n v="0"/>
  </r>
  <r>
    <n v="125"/>
    <s v="7.17"/>
    <s v="Reabilitação e adapatação das estruturas existentes ao  tratamento de TB MR "/>
    <x v="1"/>
    <x v="4"/>
    <n v="5"/>
    <x v="8"/>
    <m/>
    <s v="Capacidades de PNLT para gestão de  TB MR  reforçadas"/>
    <m/>
    <n v="0"/>
    <m/>
    <n v="0"/>
    <n v="0"/>
    <m/>
    <m/>
    <m/>
    <m/>
    <m/>
    <m/>
  </r>
  <r>
    <n v="126"/>
    <s v="7.18"/>
    <s v="Assegurar a formação de 54 agentes de saúde n manejo de casos da Tuberculose multiresistente (18 médicos, 18 enfermeiros, 9 técnicos de farmácia e 9 de laboratório)"/>
    <x v="1"/>
    <x v="4"/>
    <n v="5"/>
    <x v="8"/>
    <m/>
    <s v="Capacidades de PNLT para gestão de  TB MR  reforçadas"/>
    <m/>
    <n v="0"/>
    <m/>
    <n v="0"/>
    <n v="0"/>
    <m/>
    <m/>
    <m/>
    <m/>
    <m/>
    <m/>
  </r>
  <r>
    <n v="127"/>
    <s v="7.19"/>
    <s v="Fazer advocacia para a mobilização e a alocação dos recursos necessários para a luta contra a TBMR"/>
    <x v="1"/>
    <x v="4"/>
    <n v="5"/>
    <x v="11"/>
    <m/>
    <s v="Capacidades de PNLT para gestão de  TB MR  reforçadas"/>
    <m/>
    <n v="152.30000000000001"/>
    <m/>
    <n v="152.30000000000001"/>
    <m/>
    <m/>
    <m/>
    <m/>
    <n v="152.30000000000001"/>
    <m/>
    <m/>
  </r>
  <r>
    <n v="128"/>
    <s v="7.20"/>
    <s v="Assegurar a formação de três (3) quadros do programa em gestão de TB multirresistente."/>
    <x v="1"/>
    <x v="4"/>
    <n v="5"/>
    <x v="11"/>
    <m/>
    <s v="Capacidades de PNLT para gestão de  TB MR  reforçadas"/>
    <m/>
    <n v="0"/>
    <m/>
    <n v="0"/>
    <n v="0"/>
    <m/>
    <m/>
    <m/>
    <m/>
    <m/>
    <m/>
  </r>
  <r>
    <n v="129"/>
    <s v="7.21"/>
    <s v="Formar 20 pessoal de terreno para a recolha e transporte de amostras"/>
    <x v="0"/>
    <x v="4"/>
    <n v="5"/>
    <x v="12"/>
    <m/>
    <s v="Capacidades de PNLT para gestão de  TB MR  reforçadas"/>
    <m/>
    <n v="0"/>
    <m/>
    <n v="0"/>
    <m/>
    <m/>
    <m/>
    <m/>
    <m/>
    <m/>
    <n v="0"/>
  </r>
  <r>
    <n v="130"/>
    <s v="7.22"/>
    <s v="Implementar o sistema de rastreamento das amostras do desde a recolha até ao tratamento"/>
    <x v="1"/>
    <x v="4"/>
    <n v="5"/>
    <x v="12"/>
    <m/>
    <s v="Capacidades de PNLT para gestão de  TB MR  reforçadas"/>
    <m/>
    <n v="750"/>
    <m/>
    <n v="750"/>
    <m/>
    <m/>
    <m/>
    <m/>
    <n v="750"/>
    <m/>
    <m/>
  </r>
  <r>
    <n v="131"/>
    <s v="7.23"/>
    <s v="Tratar 100% dos casos de TB MR confirmados  até 2017"/>
    <x v="1"/>
    <x v="4"/>
    <n v="5"/>
    <x v="8"/>
    <m/>
    <s v="Capacidades de PNLT para gestão de  TB MR  reforçadas"/>
    <m/>
    <n v="0"/>
    <m/>
    <n v="0"/>
    <n v="0"/>
    <n v="0"/>
    <n v="0"/>
    <n v="0"/>
    <n v="0"/>
    <m/>
    <n v="0"/>
  </r>
  <r>
    <n v="132"/>
    <s v="7.24"/>
    <s v="Assegurar o tratamento diretamente observado (TDO) a todos os os pacientes MR em tratamento"/>
    <x v="1"/>
    <x v="4"/>
    <n v="5"/>
    <x v="8"/>
    <m/>
    <s v="Capacidades de PNLT para gestão de  TB MR  reforçadas"/>
    <m/>
    <n v="6103.6"/>
    <m/>
    <n v="6103.6"/>
    <n v="6103.6"/>
    <m/>
    <m/>
    <m/>
    <m/>
    <m/>
    <m/>
  </r>
  <r>
    <n v="133"/>
    <s v="7.25"/>
    <s v="Identificar todos os pacientes irregulares ao tratamento"/>
    <x v="1"/>
    <x v="4"/>
    <n v="5"/>
    <x v="8"/>
    <m/>
    <s v="Capacidades de PNLT para gestão de  TB MR  reforçadas"/>
    <m/>
    <n v="0"/>
    <m/>
    <n v="0"/>
    <n v="0"/>
    <n v="0"/>
    <n v="0"/>
    <n v="0"/>
    <n v="0"/>
    <m/>
    <n v="0"/>
  </r>
  <r>
    <n v="134"/>
    <s v="7.26"/>
    <s v="Assegurar o seguimento dos efeitos adversos do tratamento TB MR nos doentes colocados sob tratamento, até 2017"/>
    <x v="1"/>
    <x v="4"/>
    <n v="5"/>
    <x v="8"/>
    <m/>
    <s v="Capacidades de PNLT para gestão de  TB MR  reforçadas"/>
    <m/>
    <n v="277.8"/>
    <m/>
    <n v="277.8"/>
    <m/>
    <m/>
    <m/>
    <m/>
    <n v="277.8"/>
    <m/>
    <m/>
  </r>
  <r>
    <n v="135"/>
    <s v="7.27"/>
    <s v="Assegurar o manejo dos efeitos adversos a qualquer paciente sob tratamento, até 2017"/>
    <x v="1"/>
    <x v="4"/>
    <n v="5"/>
    <x v="8"/>
    <m/>
    <s v="Capacidades de PNLT para gestão de  TB MR  reforçadas"/>
    <m/>
    <n v="4608"/>
    <m/>
    <n v="4608"/>
    <m/>
    <m/>
    <m/>
    <m/>
    <n v="4608"/>
    <m/>
    <m/>
  </r>
  <r>
    <n v="136"/>
    <s v="7.28"/>
    <s v=" Formar  - para cada paciente ao tratamento - um membro da Comunidade para a realização do TDO, até 2017 (488 Membres de la communauté)"/>
    <x v="1"/>
    <x v="4"/>
    <n v="5"/>
    <x v="13"/>
    <s v="Percentagem de pacientes com efeitos secundários que foram tratados"/>
    <s v="Capacidades de PNLT para gestão de  TB MR  reforçadas"/>
    <m/>
    <n v="2720.6"/>
    <m/>
    <n v="2720.6"/>
    <n v="2720.6"/>
    <m/>
    <m/>
    <m/>
    <m/>
    <m/>
    <m/>
  </r>
  <r>
    <n v="137"/>
    <s v="7.29"/>
    <s v="Implementar até 2015, o mecanismo de farmacovigilância para pacientes em tratamento."/>
    <x v="1"/>
    <x v="4"/>
    <n v="5"/>
    <x v="8"/>
    <m/>
    <s v="Capacidades de PNLT para gestão de  TB MR  reforçadas"/>
    <m/>
    <n v="5584.7"/>
    <m/>
    <n v="5584.7"/>
    <n v="5584.7"/>
    <m/>
    <m/>
    <m/>
    <m/>
    <m/>
    <m/>
  </r>
  <r>
    <n v="138"/>
    <s v="7.30"/>
    <s v="Treinar 16 rofessionais para a utilização das orientações e ferramentas de coleta de dados"/>
    <x v="1"/>
    <x v="4"/>
    <n v="5"/>
    <x v="11"/>
    <m/>
    <s v="Capacidades de PNLT para gestão de  TB MR  reforçadas"/>
    <m/>
    <n v="0"/>
    <m/>
    <n v="0"/>
    <m/>
    <m/>
    <m/>
    <m/>
    <m/>
    <m/>
    <n v="0"/>
  </r>
  <r>
    <n v="139"/>
    <s v="7.31"/>
    <s v="Formar 50 gestores do sistema de saúde na exploração e análise de dados para tomada de decisão"/>
    <x v="0"/>
    <x v="4"/>
    <n v="5"/>
    <x v="11"/>
    <m/>
    <s v="Capacidades de PNLT para gestão de  TB MR  reforçadas"/>
    <m/>
    <n v="0"/>
    <m/>
    <n v="0"/>
    <m/>
    <m/>
    <m/>
    <m/>
    <m/>
    <m/>
    <n v="0"/>
  </r>
  <r>
    <n v="140"/>
    <s v="7.32"/>
    <s v="Advogar junto aos decisores (CNE, DAF e MSAS,.) para o planificação e orçamentação da supervisão, de forma regular "/>
    <x v="2"/>
    <x v="4"/>
    <n v="5"/>
    <x v="11"/>
    <m/>
    <s v="Capacidades de PNLT para gestão de  TB MR  reforçadas"/>
    <m/>
    <n v="92.8"/>
    <m/>
    <n v="92.8"/>
    <m/>
    <m/>
    <m/>
    <m/>
    <n v="92.8"/>
    <m/>
    <m/>
  </r>
  <r>
    <n v="141"/>
    <s v="7.33"/>
    <s v="Rever e alinhar o Plano S &amp; A TBMR  ao caneta 2013-2017"/>
    <x v="1"/>
    <x v="4"/>
    <n v="5"/>
    <x v="11"/>
    <m/>
    <m/>
    <m/>
    <n v="0"/>
    <m/>
    <n v="0"/>
    <n v="0"/>
    <m/>
    <m/>
    <m/>
    <m/>
    <m/>
    <m/>
  </r>
  <r>
    <n v="142"/>
    <s v="7.34"/>
    <s v="Elaborar directrizes de vigilância de TBMR"/>
    <x v="1"/>
    <x v="4"/>
    <n v="5"/>
    <x v="11"/>
    <m/>
    <s v="Capacidades de PNLT para gestão de  TB MR  reforçadas"/>
    <m/>
    <n v="0"/>
    <m/>
    <n v="0"/>
    <m/>
    <m/>
    <n v="0"/>
    <m/>
    <m/>
    <m/>
    <m/>
  </r>
  <r>
    <n v="143"/>
    <s v="7.35"/>
    <s v="Doptar o PNLT de um ponto focal de TBMR  "/>
    <x v="1"/>
    <x v="4"/>
    <n v="5"/>
    <x v="11"/>
    <m/>
    <s v="Capacidades de PNLT para gestão de  TB MR  reforçadas"/>
    <m/>
    <n v="0"/>
    <m/>
    <n v="0"/>
    <n v="0"/>
    <n v="0"/>
    <n v="0"/>
    <n v="0"/>
    <n v="0"/>
    <m/>
    <n v="0"/>
  </r>
  <r>
    <n v="144"/>
    <s v="7.36"/>
    <s v="Reforçar a capacidade (formar e reciclar) dos quadros para a gestão de TBMR"/>
    <x v="1"/>
    <x v="4"/>
    <n v="5"/>
    <x v="11"/>
    <m/>
    <s v="Capacidades de PNLT para gestão de  TB MR  reforçadas"/>
    <m/>
    <n v="0"/>
    <m/>
    <n v="0"/>
    <m/>
    <m/>
    <m/>
    <m/>
    <m/>
    <m/>
    <n v="0"/>
  </r>
  <r>
    <n v="145"/>
    <s v="7.37"/>
    <s v="Elaborar o plano nacional para controlo da infecção tuberculina em São Tomé e Príncipe até finais de 2015"/>
    <x v="1"/>
    <x v="4"/>
    <n v="5"/>
    <x v="11"/>
    <m/>
    <s v="Elaborar o plano nacional para o controlo da infecção tuberculosa em STP até final de 2015"/>
    <m/>
    <n v="0"/>
    <m/>
    <n v="0"/>
    <m/>
    <m/>
    <n v="0"/>
    <m/>
    <m/>
    <m/>
    <m/>
  </r>
  <r>
    <n v="146"/>
    <s v="7.38"/>
    <s v="Aprovisionar as estruturas de saúde com TB MR de meios de protecção individual contra a infecção tuberculosa (máscaras respiradoras)"/>
    <x v="1"/>
    <x v="4"/>
    <n v="5"/>
    <x v="14"/>
    <m/>
    <s v="Capacidades de PNLT para gestão de  TB MR  reforçadas"/>
    <m/>
    <n v="24500"/>
    <m/>
    <n v="24500"/>
    <n v="24500"/>
    <m/>
    <m/>
    <m/>
    <m/>
    <m/>
    <m/>
  </r>
  <r>
    <n v="147"/>
    <s v="7.39"/>
    <s v="Formar 150 profissionais de saúde no controlo da infecção  eTB MR nas unidades sanitárias"/>
    <x v="1"/>
    <x v="4"/>
    <n v="5"/>
    <x v="14"/>
    <m/>
    <s v="Capacidades de PNLT para gestão de  TB MR  reforçadas"/>
    <m/>
    <n v="33095.1"/>
    <m/>
    <n v="33095.1"/>
    <n v="33095.1"/>
    <m/>
    <m/>
    <m/>
    <m/>
    <m/>
    <m/>
  </r>
  <r>
    <n v="148"/>
    <s v="7.40"/>
    <s v="Realizar um inquérito sobre a aplicação das normas internacionais de controlo da infecção TBMR "/>
    <x v="0"/>
    <x v="4"/>
    <n v="5"/>
    <x v="14"/>
    <m/>
    <s v="Capacidades de PNLT para gestão de  TB MR  reforçadas"/>
    <m/>
    <n v="0"/>
    <m/>
    <n v="0"/>
    <m/>
    <m/>
    <m/>
    <m/>
    <m/>
    <m/>
    <n v="0"/>
  </r>
  <r>
    <n v="149"/>
    <s v="7.41"/>
    <s v="Elaborar e multiplicar os materiais de sensibilização dos membros da comunidade sob controlo da infecção"/>
    <x v="1"/>
    <x v="4"/>
    <n v="5"/>
    <x v="13"/>
    <m/>
    <s v="Capacidades de PNLT para gestão de  TB MR  reforçadas"/>
    <m/>
    <n v="0"/>
    <m/>
    <n v="0"/>
    <n v="0"/>
    <m/>
    <m/>
    <m/>
    <m/>
    <m/>
    <m/>
  </r>
  <r>
    <n v="150"/>
    <s v="7.42"/>
    <s v="Realizar um estudo para a reabilitação/adaptação das infraestruturas de tratamento da TB. Segundo as normas internacionais de controlo da infecção"/>
    <x v="0"/>
    <x v="4"/>
    <n v="5"/>
    <x v="11"/>
    <m/>
    <s v="Capacidades de PNLT para gestão de  TB MR  reforçadas"/>
    <m/>
    <n v="0"/>
    <m/>
    <n v="0"/>
    <m/>
    <m/>
    <m/>
    <m/>
    <m/>
    <m/>
    <n v="0"/>
  </r>
  <r>
    <n v="151"/>
    <s v="7.43"/>
    <s v="Elaborar as normas nacionais para construção de Insfrestruturas de saúde em STP, até final de 2014"/>
    <x v="1"/>
    <x v="4"/>
    <n v="5"/>
    <x v="11"/>
    <m/>
    <s v="Capacidades de PNLT para gestão de  TB MR  reforçadas"/>
    <m/>
    <n v="5857.5"/>
    <m/>
    <n v="5857.5"/>
    <m/>
    <m/>
    <n v="5857.5"/>
    <m/>
    <m/>
    <m/>
    <m/>
  </r>
</pivotCacheRecords>
</file>

<file path=xl/pivotCache/pivotCacheRecords3.xml><?xml version="1.0" encoding="utf-8"?>
<pivotCacheRecords xmlns="http://schemas.openxmlformats.org/spreadsheetml/2006/main" xmlns:r="http://schemas.openxmlformats.org/officeDocument/2006/relationships" count="155">
  <r>
    <n v="1"/>
    <s v="1.1.1"/>
    <s v="Elaborar e imprimir edivulgar plano de advocacia,  "/>
    <x v="0"/>
    <x v="0"/>
    <n v="1"/>
    <x v="0"/>
    <s v="Numero de documentos elaborados e disponíveis"/>
    <s v="As capacidades gestionárias do programa reforçadas"/>
    <m/>
    <m/>
    <n v="0"/>
    <n v="0"/>
    <m/>
    <m/>
    <m/>
    <m/>
    <m/>
    <m/>
    <n v="0"/>
  </r>
  <r>
    <n v="2"/>
    <s v="1.1.2"/>
    <s v="Elaborar/Rever e imprimir  plano anual operacional de implementação"/>
    <x v="1"/>
    <x v="0"/>
    <n v="1"/>
    <x v="0"/>
    <s v="Numero de documentos elaborados e disponíveis"/>
    <s v="As capacidades gestionárias do programa reforçadas"/>
    <m/>
    <m/>
    <n v="5177.6400000000012"/>
    <n v="5177.6400000000012"/>
    <n v="5177.6400000000012"/>
    <m/>
    <m/>
    <m/>
    <m/>
    <m/>
    <m/>
  </r>
  <r>
    <n v="3"/>
    <s v="1.1.3"/>
    <s v="Elaborar  e imprimir  plano de mobilização da recurso"/>
    <x v="2"/>
    <x v="0"/>
    <n v="1"/>
    <x v="0"/>
    <s v="Numero de documentos elaborados e disponíveis"/>
    <s v="As capacidades gestionárias do programa reforçadas"/>
    <m/>
    <m/>
    <n v="3315.83"/>
    <n v="3315.83"/>
    <m/>
    <m/>
    <m/>
    <m/>
    <m/>
    <m/>
    <n v="3315.83"/>
  </r>
  <r>
    <n v="4"/>
    <s v="1.1.4"/>
    <s v="Elaborar  e imprimir  plano de formação"/>
    <x v="1"/>
    <x v="0"/>
    <n v="1"/>
    <x v="0"/>
    <s v="Numero de documentos elaborados e disponíveis"/>
    <s v="As capacidades gestionárias do programa reforçadas"/>
    <m/>
    <m/>
    <n v="1905.11"/>
    <n v="1905.11"/>
    <n v="1905.11"/>
    <m/>
    <m/>
    <m/>
    <m/>
    <m/>
    <m/>
  </r>
  <r>
    <n v="5"/>
    <s v="1.1.5"/>
    <s v="Elaborar  e imprimir  plano TB MR"/>
    <x v="2"/>
    <x v="0"/>
    <n v="1"/>
    <x v="0"/>
    <s v="Numero de documentos elaborados e disponíveis"/>
    <s v="As capacidades gestionárias do programa reforçadas"/>
    <m/>
    <m/>
    <n v="2951.1100000000006"/>
    <n v="2951.1100000000006"/>
    <n v="2951.1100000000006"/>
    <m/>
    <m/>
    <m/>
    <m/>
    <m/>
    <m/>
  </r>
  <r>
    <n v="6"/>
    <s v="1.1.6"/>
    <s v="Elaborar  e imprimir  manual de procedimento administrativo, "/>
    <x v="2"/>
    <x v="0"/>
    <n v="1"/>
    <x v="0"/>
    <s v="Numero de documentos elaborados e disponíveis"/>
    <s v="As capacidades gestionárias do programa reforçadas"/>
    <m/>
    <m/>
    <n v="0"/>
    <n v="0"/>
    <m/>
    <m/>
    <m/>
    <m/>
    <m/>
    <m/>
    <n v="0"/>
  </r>
  <r>
    <n v="7"/>
    <s v="1.1.7"/>
    <s v="Elaborar  e imprimir  politica sobre a gestão de medicamentos, "/>
    <x v="0"/>
    <x v="0"/>
    <n v="1"/>
    <x v="0"/>
    <s v="Numero de documentos elaborados e disponíveis"/>
    <s v="As capacidades gestionárias do programa reforçadas"/>
    <m/>
    <m/>
    <n v="0"/>
    <n v="0"/>
    <m/>
    <m/>
    <n v="0"/>
    <m/>
    <m/>
    <m/>
    <m/>
  </r>
  <r>
    <n v="8"/>
    <s v="1.1.7.1"/>
    <s v="Multiplicar e disseminar 100 exemplares de modulo de formação em manejo de casos de TB"/>
    <x v="1"/>
    <x v="0"/>
    <n v="1"/>
    <x v="0"/>
    <m/>
    <s v="As capacidades gestionárias do programa reforçadas"/>
    <m/>
    <m/>
    <n v="0"/>
    <n v="0"/>
    <m/>
    <m/>
    <m/>
    <m/>
    <m/>
    <m/>
    <n v="0"/>
  </r>
  <r>
    <n v="9"/>
    <s v="1.1.8"/>
    <s v="Revisão  e impressãodo guia de supervisão) "/>
    <x v="1"/>
    <x v="0"/>
    <n v="1"/>
    <x v="0"/>
    <s v="Numero de documentos elaborados e disponíveis"/>
    <s v="As capacidades gestionárias do programa reforçadas"/>
    <m/>
    <m/>
    <n v="0"/>
    <n v="0"/>
    <n v="0"/>
    <m/>
    <m/>
    <m/>
    <m/>
    <m/>
    <m/>
  </r>
  <r>
    <n v="10"/>
    <s v="1.1.9"/>
    <s v="Descrição de atribuições das vagas a criar (TDR)"/>
    <x v="2"/>
    <x v="0"/>
    <n v="1"/>
    <x v="0"/>
    <s v="Numero de documentos elaborados e disponíveis"/>
    <s v="As capacidades gestionárias do programa reforçadas"/>
    <m/>
    <m/>
    <n v="0"/>
    <n v="0"/>
    <m/>
    <m/>
    <m/>
    <m/>
    <n v="0"/>
    <m/>
    <m/>
  </r>
  <r>
    <n v="11"/>
    <s v="1.1.10"/>
    <s v="Criar e dotar vagas para o PNLT"/>
    <x v="1"/>
    <x v="0"/>
    <n v="1"/>
    <x v="0"/>
    <m/>
    <s v="As capacidades gestionárias do programa reforçadas"/>
    <m/>
    <m/>
    <m/>
    <n v="0"/>
    <n v="0"/>
    <n v="0"/>
    <n v="0"/>
    <n v="0"/>
    <n v="0"/>
    <m/>
    <n v="0"/>
  </r>
  <r>
    <n v="12"/>
    <s v="1.1.11"/>
    <s v="Atribuição da nova grelha salarial à equipa  PNLT"/>
    <x v="1"/>
    <x v="0"/>
    <n v="1"/>
    <x v="0"/>
    <m/>
    <s v="As capacidades gestionárias do programa reforçadas"/>
    <m/>
    <m/>
    <n v="76968"/>
    <n v="76968"/>
    <n v="76968"/>
    <m/>
    <m/>
    <m/>
    <m/>
    <m/>
    <m/>
  </r>
  <r>
    <n v="13"/>
    <s v="1.1.12"/>
    <s v="Atelier de 3 dias para a Revisão do Guia de laboratório (10 participantes)"/>
    <x v="1"/>
    <x v="0"/>
    <n v="1"/>
    <x v="0"/>
    <m/>
    <s v="As capacidades gestionárias do programa reforçadas"/>
    <m/>
    <m/>
    <n v="0"/>
    <n v="0"/>
    <m/>
    <n v="0"/>
    <m/>
    <m/>
    <m/>
    <m/>
    <m/>
  </r>
  <r>
    <n v="14"/>
    <s v="1.2.1"/>
    <s v="Formação em Gestão do Programa 3 pessoas"/>
    <x v="1"/>
    <x v="0"/>
    <n v="1"/>
    <x v="0"/>
    <s v="Numero de pessoal formado"/>
    <s v="As capacidades gestionárias do programa reforçadas"/>
    <m/>
    <m/>
    <n v="0"/>
    <n v="0"/>
    <n v="0"/>
    <m/>
    <m/>
    <m/>
    <m/>
    <m/>
    <m/>
  </r>
  <r>
    <n v="15"/>
    <s v="1.2.2"/>
    <s v=" Formação em gestão da TB 15 pessoas"/>
    <x v="1"/>
    <x v="0"/>
    <n v="1"/>
    <x v="0"/>
    <s v="Numero de pessoal formado"/>
    <s v="As capacidades gestionárias do programa reforçadas"/>
    <m/>
    <m/>
    <n v="0"/>
    <n v="0"/>
    <n v="0"/>
    <m/>
    <m/>
    <m/>
    <m/>
    <m/>
    <m/>
  </r>
  <r>
    <n v="16"/>
    <s v="1.2.3"/>
    <s v="Formação em saúde pública 2 pessoas"/>
    <x v="0"/>
    <x v="0"/>
    <n v="1"/>
    <x v="0"/>
    <s v="Numero de pessoal formado"/>
    <s v="As capacidades gestionárias do programa reforçadas"/>
    <m/>
    <m/>
    <n v="0"/>
    <n v="0"/>
    <m/>
    <m/>
    <m/>
    <m/>
    <m/>
    <m/>
    <n v="0"/>
  </r>
  <r>
    <n v="17"/>
    <s v="1.2.4"/>
    <s v="Formação em gestão administrativa 1 pessoa"/>
    <x v="1"/>
    <x v="0"/>
    <n v="1"/>
    <x v="0"/>
    <s v="Numero de pessoal formado"/>
    <s v="As capacidades gestionárias do programa reforçadas"/>
    <m/>
    <m/>
    <n v="0"/>
    <n v="0"/>
    <m/>
    <m/>
    <m/>
    <m/>
    <m/>
    <m/>
    <n v="0"/>
  </r>
  <r>
    <n v="18"/>
    <s v="1.2.5"/>
    <s v="Formação em Seguimento e avaliação 2 pessoas"/>
    <x v="1"/>
    <x v="1"/>
    <n v="2"/>
    <x v="1"/>
    <s v="Numero de pessoal formado"/>
    <s v="As capacidades gestionárias do programa reforçadas"/>
    <m/>
    <m/>
    <n v="0"/>
    <n v="0"/>
    <m/>
    <m/>
    <m/>
    <m/>
    <m/>
    <m/>
    <n v="0"/>
  </r>
  <r>
    <n v="19"/>
    <s v="1.2.6"/>
    <s v="Formar 3 pessoas (2 farmácia e 1 medico de programa) em gestão e aprovisionamento de medicamentos "/>
    <x v="1"/>
    <x v="0"/>
    <n v="1"/>
    <x v="2"/>
    <s v="Numero de pessoal formado"/>
    <s v="As capacidades gestionárias do programa reforçadas"/>
    <m/>
    <m/>
    <n v="0"/>
    <n v="0"/>
    <n v="0"/>
    <m/>
    <m/>
    <m/>
    <m/>
    <m/>
    <m/>
  </r>
  <r>
    <n v="20"/>
    <s v="1.2.7"/>
    <s v="Formar 12 Técnicos de Farmácia (6 CDT, 1 RAP, 3 HAM e 2 FNM) em gestão de medicamentos (1 sessão de 5 dias no Ano 1) "/>
    <x v="1"/>
    <x v="0"/>
    <n v="1"/>
    <x v="2"/>
    <s v="Numero de pessoal formado"/>
    <s v="As capacidades gestionárias do programa reforçadas"/>
    <m/>
    <m/>
    <n v="0"/>
    <n v="0"/>
    <n v="0"/>
    <m/>
    <m/>
    <m/>
    <m/>
    <m/>
    <m/>
  </r>
  <r>
    <n v="21"/>
    <s v="1.2.8"/>
    <s v="Reciclar 12 Técnicos de Farmácia (6 CDT, 1 RAP, 3 HAM e 2 FNM) em gestão de medicamentos (1 sessão de 5 dias no Ano 3) "/>
    <x v="0"/>
    <x v="0"/>
    <n v="1"/>
    <x v="2"/>
    <s v="Numero de pessoal formado"/>
    <s v="As capacidades gestionárias do programa reforçadas"/>
    <m/>
    <m/>
    <n v="4103.0599999999995"/>
    <n v="4103.0599999999995"/>
    <m/>
    <m/>
    <m/>
    <m/>
    <m/>
    <m/>
    <n v="4103.0599999999995"/>
  </r>
  <r>
    <n v="22"/>
    <s v="1.3"/>
    <s v=" Advocacia para criar e dotar vagas para o PNLT (Um Director do programa médicos (2), enfermeira ( 1) seguimento  e avaliação, uma técnica de laboratório(1), um técnico de farmácia (1), secretaria (1),  técnico administrativo (1), motorista(1), assistente pedagógica até 2017"/>
    <x v="1"/>
    <x v="0"/>
    <n v="1"/>
    <x v="0"/>
    <s v="Numero de lugares criados dotados"/>
    <s v="As capacidades gestionárias do programa reforçadas"/>
    <m/>
    <m/>
    <n v="0"/>
    <n v="0"/>
    <m/>
    <m/>
    <m/>
    <m/>
    <n v="0"/>
    <m/>
    <m/>
  </r>
  <r>
    <n v="23"/>
    <s v="1.4"/>
    <s v="Realizar Semestralmente e trimestralmente encontros de coordenação entre os diferentes parceiros "/>
    <x v="2"/>
    <x v="0"/>
    <n v="1"/>
    <x v="0"/>
    <s v="Numero de relatórios das reuniões disponíveis"/>
    <s v="As capacidades gestionárias do programa reforçadas"/>
    <m/>
    <m/>
    <n v="366.67"/>
    <n v="366.67"/>
    <n v="366.67"/>
    <m/>
    <m/>
    <m/>
    <m/>
    <m/>
    <m/>
  </r>
  <r>
    <n v="24"/>
    <s v="1.4.1"/>
    <s v="Realizar trimestralmente encontros de coordenação entre os diferentes níveis"/>
    <x v="1"/>
    <x v="0"/>
    <n v="1"/>
    <x v="0"/>
    <m/>
    <s v="As capacidades gestionárias do programa reforçadas"/>
    <m/>
    <m/>
    <n v="5426"/>
    <n v="5426"/>
    <n v="5426"/>
    <m/>
    <m/>
    <m/>
    <m/>
    <m/>
    <m/>
  </r>
  <r>
    <n v="25"/>
    <s v="1.5.1"/>
    <s v="Aquisição de materiais equipamento de escritório, e comunicação)"/>
    <x v="1"/>
    <x v="0"/>
    <n v="1"/>
    <x v="3"/>
    <s v="Numero de relatório técnicos e financeiros"/>
    <s v="As capacidades gestionárias do programa reforçadas"/>
    <m/>
    <m/>
    <n v="5904.7700000000013"/>
    <n v="5904.7700000000013"/>
    <m/>
    <m/>
    <m/>
    <m/>
    <m/>
    <m/>
    <n v="5904.7700000000013"/>
  </r>
  <r>
    <n v="26"/>
    <s v="1.5.2"/>
    <s v="Assegurar o funcionamento do PNLT"/>
    <x v="1"/>
    <x v="0"/>
    <n v="1"/>
    <x v="3"/>
    <m/>
    <s v="As capacidades gestionárias do programa reforçadas"/>
    <m/>
    <m/>
    <n v="5074.08"/>
    <n v="5074.08"/>
    <n v="5074.08"/>
    <m/>
    <m/>
    <m/>
    <m/>
    <m/>
    <m/>
  </r>
  <r>
    <s v="26.1"/>
    <s v="1.5.2.1"/>
    <s v="Assegurar o funcionamento das Unidades Sanitárias no processo de descentralização da  estratégia DOT"/>
    <x v="1"/>
    <x v="0"/>
    <n v="1"/>
    <x v="3"/>
    <m/>
    <m/>
    <m/>
    <m/>
    <n v="85911.435903157457"/>
    <n v="85911.435903157457"/>
    <m/>
    <m/>
    <m/>
    <m/>
    <n v="85911.435903157457"/>
    <m/>
    <m/>
  </r>
  <r>
    <n v="27"/>
    <s v="1.5.3"/>
    <s v="Assegurar o funcionamento do PNLT (Seguro de Transporte de PNLT)"/>
    <x v="1"/>
    <x v="0"/>
    <n v="1"/>
    <x v="3"/>
    <m/>
    <s v="As capacidades gestionárias do programa reforçadas"/>
    <m/>
    <m/>
    <n v="6306.48"/>
    <n v="6306.48"/>
    <n v="6306.48"/>
    <m/>
    <m/>
    <m/>
    <m/>
    <m/>
    <m/>
  </r>
  <r>
    <n v="28"/>
    <s v="1.5.4"/>
    <s v="Assegurar o funcionamento do PNLT (Manutenção de viatura)"/>
    <x v="1"/>
    <x v="0"/>
    <n v="1"/>
    <x v="3"/>
    <m/>
    <s v="As capacidades gestionárias do programa reforçadas"/>
    <m/>
    <m/>
    <n v="8320"/>
    <n v="8320"/>
    <n v="8320"/>
    <m/>
    <m/>
    <m/>
    <m/>
    <m/>
    <m/>
  </r>
  <r>
    <n v="29"/>
    <s v="1.6.1"/>
    <s v="Aquisição de 1 viatura"/>
    <x v="1"/>
    <x v="0"/>
    <n v="1"/>
    <x v="3"/>
    <m/>
    <s v="As capacidades gestionárias do programa reforçadas"/>
    <m/>
    <m/>
    <n v="0"/>
    <n v="0"/>
    <n v="0"/>
    <m/>
    <m/>
    <m/>
    <m/>
    <m/>
    <m/>
  </r>
  <r>
    <n v="30"/>
    <s v="1.6.2"/>
    <s v="Aquisição de 7 KIT informático"/>
    <x v="1"/>
    <x v="0"/>
    <n v="1"/>
    <x v="3"/>
    <m/>
    <s v="As capacidades gestionárias do programa reforçadas"/>
    <m/>
    <m/>
    <n v="0"/>
    <n v="0"/>
    <n v="0"/>
    <m/>
    <m/>
    <m/>
    <m/>
    <m/>
    <m/>
  </r>
  <r>
    <n v="31"/>
    <s v="1.6.3"/>
    <s v="Contratar uma empresa para assegurar a manutenção dos equipamentos (informático, frigoríficos, ar condicionados, a) contínuo durante 5 anos"/>
    <x v="0"/>
    <x v="0"/>
    <n v="1"/>
    <x v="3"/>
    <m/>
    <s v="As capacidades gestionárias do programa reforçadas"/>
    <m/>
    <m/>
    <n v="1284"/>
    <n v="1284"/>
    <m/>
    <m/>
    <m/>
    <m/>
    <m/>
    <m/>
    <n v="1284"/>
  </r>
  <r>
    <n v="32"/>
    <s v="1.6.4"/>
    <s v="Aquisição de 2 aparelho de medição da temperatura do ambiente – registo durante 24 horas"/>
    <x v="1"/>
    <x v="0"/>
    <n v="1"/>
    <x v="2"/>
    <m/>
    <s v="As capacidades gestionárias do programa reforçadas"/>
    <m/>
    <m/>
    <n v="0"/>
    <n v="0"/>
    <n v="0"/>
    <m/>
    <m/>
    <m/>
    <m/>
    <m/>
    <m/>
  </r>
  <r>
    <n v="33"/>
    <s v="1.6.4.1"/>
    <s v="Assegurar o funcionamento do aparelho de medição da temperatura do ambiente – rolo de registo de oscilação "/>
    <x v="1"/>
    <x v="0"/>
    <n v="1"/>
    <x v="2"/>
    <m/>
    <s v="As capacidades gestionárias do programa reforçadas"/>
    <m/>
    <m/>
    <n v="5100"/>
    <n v="5100"/>
    <n v="5100"/>
    <m/>
    <m/>
    <m/>
    <m/>
    <m/>
    <m/>
  </r>
  <r>
    <n v="34"/>
    <s v="1.6.4.2"/>
    <s v="Contratar uma empresa para assegurar a manutenção dos equipamentos (aparelho de medição de temperatura) contínuo durante 5 anos"/>
    <x v="1"/>
    <x v="0"/>
    <n v="1"/>
    <x v="2"/>
    <m/>
    <s v="As capacidades gestionárias do programa reforçadas"/>
    <m/>
    <m/>
    <n v="700"/>
    <n v="700"/>
    <n v="700"/>
    <m/>
    <m/>
    <m/>
    <m/>
    <m/>
    <m/>
  </r>
  <r>
    <n v="35"/>
    <s v="1.6.5"/>
    <s v="Aquisição de 10 motorizada para distritos) até 2018"/>
    <x v="0"/>
    <x v="0"/>
    <n v="1"/>
    <x v="3"/>
    <m/>
    <s v="As capacidades gestionárias do programa reforçadas"/>
    <m/>
    <m/>
    <n v="0"/>
    <n v="0"/>
    <n v="0"/>
    <m/>
    <m/>
    <m/>
    <m/>
    <m/>
    <m/>
  </r>
  <r>
    <n v="36"/>
    <s v="1.7"/>
    <s v="Assistência Tecnica internacional para Criar um sistema de incentivos (individuais e colectivos, financeiros e não financeiros) baseados no desempenho"/>
    <x v="2"/>
    <x v="0"/>
    <n v="1"/>
    <x v="0"/>
    <m/>
    <s v="As capacidades gestionárias do programa reforçadas"/>
    <m/>
    <m/>
    <n v="0"/>
    <n v="0"/>
    <m/>
    <m/>
    <m/>
    <m/>
    <m/>
    <m/>
    <n v="0"/>
  </r>
  <r>
    <n v="37"/>
    <s v="1.8"/>
    <s v="Realizar  Supervisão de gestão de medicamentos (RAP semestralmente)"/>
    <x v="1"/>
    <x v="0"/>
    <n v="1"/>
    <x v="0"/>
    <s v="Numero de supervisões realizadas"/>
    <s v="As capacidades gestionárias do programa reforçadas"/>
    <m/>
    <m/>
    <n v="2313.6899999999996"/>
    <n v="2313.6899999999996"/>
    <n v="2313.6899999999996"/>
    <m/>
    <m/>
    <m/>
    <m/>
    <m/>
    <m/>
  </r>
  <r>
    <n v="38"/>
    <s v="1.9"/>
    <s v="Aquisição de Combustível para transporte (distribuição de medicamentos) e gerador (50 Lt por mês para Gerador) durante 5 anos"/>
    <x v="1"/>
    <x v="0"/>
    <n v="1"/>
    <x v="3"/>
    <m/>
    <s v="As capacidades gestionárias do programa reforçadas"/>
    <m/>
    <m/>
    <n v="1713.6"/>
    <n v="1713.6"/>
    <n v="1713.6"/>
    <m/>
    <m/>
    <m/>
    <m/>
    <m/>
    <m/>
  </r>
  <r>
    <n v="39"/>
    <s v="1.10"/>
    <s v="Assegurar envio de medicamentos e outros consumíveis para RAP"/>
    <x v="1"/>
    <x v="0"/>
    <n v="1"/>
    <x v="3"/>
    <m/>
    <s v="As capacidades gestionárias do programa reforçadas"/>
    <m/>
    <m/>
    <n v="400"/>
    <n v="400"/>
    <m/>
    <m/>
    <m/>
    <m/>
    <n v="400"/>
    <m/>
    <m/>
  </r>
  <r>
    <n v="40"/>
    <s v="1.11"/>
    <s v="Adquirir/adaptar base de dado para gestão de stok dos medicamentos (FNM)"/>
    <x v="1"/>
    <x v="0"/>
    <n v="1"/>
    <x v="3"/>
    <m/>
    <s v="As capacidades gestionárias do programa reforçadas"/>
    <m/>
    <m/>
    <n v="0"/>
    <n v="0"/>
    <n v="0"/>
    <m/>
    <m/>
    <m/>
    <m/>
    <m/>
    <m/>
  </r>
  <r>
    <n v="41"/>
    <s v="1.12"/>
    <s v="Formação em utilização do softwer para gestão de stok dos medicamentos (FNM)"/>
    <x v="1"/>
    <x v="0"/>
    <n v="1"/>
    <x v="3"/>
    <m/>
    <s v="As capacidades gestionárias do programa reforçadas"/>
    <m/>
    <m/>
    <n v="5748.5"/>
    <n v="5748.5"/>
    <n v="5748.5"/>
    <m/>
    <m/>
    <m/>
    <m/>
    <m/>
    <m/>
  </r>
  <r>
    <n v="42"/>
    <s v="1.13"/>
    <s v="Formar 15 técnicos na instalação de uma base de dados (SPSS) da TB, 1 sessão de 5 dias."/>
    <x v="2"/>
    <x v="0"/>
    <n v="1"/>
    <x v="0"/>
    <m/>
    <s v="As capacidades gestionárias do programa reforçadas"/>
    <m/>
    <m/>
    <n v="0"/>
    <n v="0"/>
    <m/>
    <m/>
    <m/>
    <m/>
    <m/>
    <m/>
    <n v="0"/>
  </r>
  <r>
    <n v="43"/>
    <s v="2.1"/>
    <s v="Recrutar e afectar 1 técnico de Seguimento e Avaliação do PNLT"/>
    <x v="1"/>
    <x v="1"/>
    <n v="2"/>
    <x v="1"/>
    <s v="Técnico recrutado"/>
    <s v="Sistema de seguimento e avaliação do Programa fortalecido"/>
    <m/>
    <m/>
    <m/>
    <n v="0"/>
    <n v="0"/>
    <m/>
    <m/>
    <m/>
    <m/>
    <m/>
    <m/>
  </r>
  <r>
    <n v="44"/>
    <s v="2.2"/>
    <s v="Organizar atelier de 5 dias para actualizar e validação o plano de seguimento e avaliação e instrumento de colheita dos dados"/>
    <x v="1"/>
    <x v="1"/>
    <n v="2"/>
    <x v="1"/>
    <s v="Plano S&amp;A actualizado e disponivel"/>
    <s v="Sistema de seguimento e avaliação do Programa fortalecido"/>
    <m/>
    <m/>
    <n v="0"/>
    <n v="0"/>
    <n v="0"/>
    <m/>
    <m/>
    <m/>
    <m/>
    <m/>
    <m/>
  </r>
  <r>
    <n v="45"/>
    <s v="2.2.1"/>
    <s v="Organizar um atelier de 5 jours para avaliação do cumprimento do plano de seguimento e avaliação"/>
    <x v="1"/>
    <x v="1"/>
    <n v="2"/>
    <x v="1"/>
    <m/>
    <s v="Sistema de seguimento e avaliação do Programa fortalecido"/>
    <m/>
    <m/>
    <n v="0"/>
    <n v="0"/>
    <n v="0"/>
    <m/>
    <m/>
    <m/>
    <m/>
    <m/>
    <m/>
  </r>
  <r>
    <n v="46"/>
    <s v="2.3"/>
    <s v="Implementar o plano de seguimento e avaliação"/>
    <x v="1"/>
    <x v="1"/>
    <n v="2"/>
    <x v="1"/>
    <m/>
    <s v="Sistema de seguimento e avaliação do Programa fortalecido"/>
    <m/>
    <m/>
    <n v="0"/>
    <n v="0"/>
    <n v="0"/>
    <n v="0"/>
    <n v="0"/>
    <n v="0"/>
    <n v="0"/>
    <m/>
    <n v="0"/>
  </r>
  <r>
    <n v="47"/>
    <s v="2.4"/>
    <s v="Implementar o sistema de registo electrónico de dados TB "/>
    <x v="0"/>
    <x v="1"/>
    <n v="2"/>
    <x v="1"/>
    <s v="Sistema de registro electrónico funcional"/>
    <s v="Sistema de seguimento e avaliação do Programa fortalecido"/>
    <m/>
    <m/>
    <n v="0"/>
    <n v="0"/>
    <m/>
    <m/>
    <n v="0"/>
    <m/>
    <m/>
    <m/>
    <m/>
  </r>
  <r>
    <n v="48"/>
    <s v="2.5"/>
    <s v="Produção e difusão de relatórios trimestrais "/>
    <x v="2"/>
    <x v="1"/>
    <n v="2"/>
    <x v="1"/>
    <s v="relatorios produzidos e difundidos"/>
    <s v="Sistema de seguimento e avaliação do Programa fortalecido"/>
    <m/>
    <m/>
    <n v="1593.33"/>
    <n v="1593.33"/>
    <n v="1593.33"/>
    <m/>
    <m/>
    <m/>
    <m/>
    <m/>
    <m/>
  </r>
  <r>
    <n v="49"/>
    <s v="2.6"/>
    <s v="Organizar a avaliação (interna e externa) do plano estratégico  "/>
    <x v="1"/>
    <x v="1"/>
    <n v="2"/>
    <x v="1"/>
    <s v="Relatorio da avaliação disponível)"/>
    <s v="Sistema de seguimento e avaliação do Programa fortalecido"/>
    <m/>
    <m/>
    <n v="0"/>
    <n v="0"/>
    <n v="0"/>
    <m/>
    <m/>
    <m/>
    <m/>
    <m/>
    <m/>
  </r>
  <r>
    <n v="50"/>
    <s v="2.7"/>
    <s v="Atelie de 5 dias com 10 técnicos estatísticos para preenchimento das fichas e livro de registo"/>
    <x v="2"/>
    <x v="1"/>
    <n v="2"/>
    <x v="1"/>
    <s v="Relatorio do atiliê"/>
    <s v="Sistema de seguimento e avaliação do Programa fortalecido"/>
    <m/>
    <m/>
    <n v="3141.11"/>
    <n v="3141.11"/>
    <n v="3141.11"/>
    <m/>
    <m/>
    <m/>
    <m/>
    <m/>
    <m/>
  </r>
  <r>
    <n v="51"/>
    <s v="2.8"/>
    <s v="Organizar encontro para restituição dos dados"/>
    <x v="2"/>
    <x v="1"/>
    <n v="2"/>
    <x v="1"/>
    <s v="Dados restituidos"/>
    <s v="Sistema de seguimento e avaliação do Programa fortalecido"/>
    <m/>
    <m/>
    <n v="374.67"/>
    <n v="374.67"/>
    <n v="374.67"/>
    <m/>
    <m/>
    <m/>
    <m/>
    <m/>
    <m/>
  </r>
  <r>
    <n v="52"/>
    <s v="3.1"/>
    <s v="Elaborar e reproduzir Kit de Comunicação com mensagens chaves de TB (folhetos, cartazes, bandeirolas, painel gigante e álbum seriado)(colocar antes das palestras)"/>
    <x v="1"/>
    <x v="2"/>
    <n v="3"/>
    <x v="4"/>
    <s v="Número de KIT elaborados e disponíveis"/>
    <s v="Conhecimento da população sobre a TB melhorado"/>
    <m/>
    <m/>
    <n v="3722.2200000000003"/>
    <n v="3722.2200000000003"/>
    <n v="3722.2200000000003"/>
    <m/>
    <m/>
    <m/>
    <m/>
    <m/>
    <m/>
  </r>
  <r>
    <n v="53"/>
    <s v="3.2"/>
    <s v="Elaborar/adaptar e difundir Spot televisivo e radiofónico"/>
    <x v="1"/>
    <x v="2"/>
    <n v="3"/>
    <x v="4"/>
    <s v="Numero de SPOT elaborados e difundidos"/>
    <s v="Conhecimento da população sobre a TB melhorado"/>
    <m/>
    <m/>
    <n v="3722.2200000000003"/>
    <n v="3722.2200000000003"/>
    <n v="3722.2200000000003"/>
    <m/>
    <m/>
    <m/>
    <m/>
    <m/>
    <m/>
  </r>
  <r>
    <n v="54"/>
    <s v="3.3"/>
    <s v="Realizar um Inquérito CAP"/>
    <x v="0"/>
    <x v="1"/>
    <n v="2"/>
    <x v="5"/>
    <s v="Relatorio de CAP disponível"/>
    <s v="Conhecimento da população sobre a TB melhorado"/>
    <m/>
    <m/>
    <n v="0"/>
    <n v="0"/>
    <n v="0"/>
    <m/>
    <m/>
    <m/>
    <m/>
    <m/>
    <m/>
  </r>
  <r>
    <s v="54.1"/>
    <s v="3.3.1"/>
    <s v="Realizar um Estudo sobre a mortalidade por TB"/>
    <x v="1"/>
    <x v="1"/>
    <n v="2"/>
    <x v="5"/>
    <m/>
    <m/>
    <m/>
    <m/>
    <m/>
    <n v="0"/>
    <n v="0"/>
    <m/>
    <m/>
    <m/>
    <m/>
    <m/>
    <m/>
  </r>
  <r>
    <n v="54.2"/>
    <s v="3.3.2"/>
    <s v="Realizar um Estudo sobre a Co-infecção TB/VIH"/>
    <x v="1"/>
    <x v="1"/>
    <n v="2"/>
    <x v="5"/>
    <m/>
    <m/>
    <m/>
    <m/>
    <m/>
    <n v="0"/>
    <n v="0"/>
    <m/>
    <m/>
    <m/>
    <m/>
    <m/>
    <m/>
  </r>
  <r>
    <n v="55"/>
    <s v="3.4"/>
    <s v="Organizar sessões de advocacia junto aos decisores políticos e parceiros."/>
    <x v="0"/>
    <x v="0"/>
    <n v="1"/>
    <x v="0"/>
    <s v=" Numero Decisores e parceiros colaborando nas actividades de luta contra a tuberculose"/>
    <s v="Conhecimento da população sobre a TB melhorado"/>
    <m/>
    <m/>
    <n v="92.829999999999984"/>
    <n v="92.829999999999984"/>
    <m/>
    <m/>
    <m/>
    <m/>
    <n v="92.829999999999984"/>
    <m/>
    <m/>
  </r>
  <r>
    <n v="56"/>
    <s v="3.5"/>
    <s v="Formar (100) ASC e activistas (em gestão das actividades comunitária/sensibilização sobre TB)."/>
    <x v="1"/>
    <x v="2"/>
    <n v="3"/>
    <x v="6"/>
    <s v="Numero de pessoal formados"/>
    <s v="Conhecimento da população sobre a TB melhorado"/>
    <m/>
    <m/>
    <n v="0"/>
    <n v="0"/>
    <n v="0"/>
    <m/>
    <m/>
    <m/>
    <m/>
    <m/>
    <m/>
  </r>
  <r>
    <n v="57"/>
    <s v="3.5.1"/>
    <s v="Reciclar (100) ASC e activistas (em gestão das actividades comunitária/sensibilização sobre TB)."/>
    <x v="0"/>
    <x v="2"/>
    <n v="3"/>
    <x v="6"/>
    <m/>
    <s v="Conhecimento da população sobre a TB melhorado"/>
    <m/>
    <m/>
    <n v="0"/>
    <n v="0"/>
    <m/>
    <m/>
    <m/>
    <m/>
    <m/>
    <m/>
    <n v="0"/>
  </r>
  <r>
    <n v="58"/>
    <s v="3.6"/>
    <s v="Realizar palestras de sensibilização ( na escola, igrejas, prisão, quartel militar, Jornalistas e nas comunidades)"/>
    <x v="1"/>
    <x v="2"/>
    <n v="3"/>
    <x v="4"/>
    <s v="Numero de palestras realizadas"/>
    <s v="Conhecimento da população sobre a TB melhorado"/>
    <m/>
    <m/>
    <n v="18499.990000000002"/>
    <n v="18499.990000000002"/>
    <n v="18499.990000000002"/>
    <m/>
    <m/>
    <m/>
    <m/>
    <m/>
    <m/>
  </r>
  <r>
    <n v="59"/>
    <s v="3.7"/>
    <s v="Organização do dia Mundial de Luta contra TB"/>
    <x v="0"/>
    <x v="2"/>
    <n v="3"/>
    <x v="4"/>
    <s v="Relatório disponível"/>
    <s v="Conhecimento da população sobre a TB melhorado"/>
    <m/>
    <m/>
    <n v="11333.33"/>
    <n v="11333.33"/>
    <n v="11333.33"/>
    <m/>
    <m/>
    <m/>
    <m/>
    <m/>
    <m/>
  </r>
  <r>
    <n v="60"/>
    <s v="3.8"/>
    <s v="Formar 30 Jornalistas (rádio, televisão, jornal), 3 dias, Ano 1 "/>
    <x v="0"/>
    <x v="2"/>
    <n v="3"/>
    <x v="4"/>
    <m/>
    <s v="Conhecimento da população sobre a TB melhorado"/>
    <m/>
    <m/>
    <n v="0"/>
    <n v="0"/>
    <n v="0"/>
    <m/>
    <m/>
    <m/>
    <m/>
    <m/>
    <m/>
  </r>
  <r>
    <n v="61"/>
    <s v="3.9"/>
    <s v="Reciclar 30 Jornalistas (rádio, televisão, jornal), 3 dias, Ano 2"/>
    <x v="0"/>
    <x v="2"/>
    <n v="3"/>
    <x v="4"/>
    <m/>
    <s v="Conhecimento da população sobre a TB melhorado"/>
    <m/>
    <m/>
    <n v="0"/>
    <n v="0"/>
    <m/>
    <m/>
    <m/>
    <m/>
    <m/>
    <m/>
    <n v="0"/>
  </r>
  <r>
    <n v="62"/>
    <s v="4.1"/>
    <s v="Rehabilitar/adaptação de 6 laboratórios  "/>
    <x v="2"/>
    <x v="2"/>
    <n v="3"/>
    <x v="7"/>
    <s v="Numero de laboratórios reabilitados/adapatados"/>
    <s v="Casos de tuberculose diagnosticados"/>
    <m/>
    <m/>
    <n v="0"/>
    <n v="0"/>
    <n v="0"/>
    <m/>
    <m/>
    <m/>
    <m/>
    <m/>
    <m/>
  </r>
  <r>
    <n v="63"/>
    <s v="4.2"/>
    <s v="Equipar os laboratórios( microscópios, bico de busen...)"/>
    <x v="1"/>
    <x v="2"/>
    <n v="3"/>
    <x v="7"/>
    <s v="Numero de laboratorios equipados"/>
    <s v="Casos de tuberculose diagnosticados"/>
    <m/>
    <m/>
    <n v="13953"/>
    <n v="13953"/>
    <n v="13953"/>
    <m/>
    <m/>
    <m/>
    <m/>
    <m/>
    <m/>
  </r>
  <r>
    <n v="64"/>
    <s v="4.3"/>
    <s v="Aprovisionar as estruturas em consumíveis de laboratório (laminas, luvas, embaços, reagentes, mala térmica, palitos…) "/>
    <x v="1"/>
    <x v="2"/>
    <n v="3"/>
    <x v="7"/>
    <s v="Numero de dias de rutura de Stoks"/>
    <s v="Casos de tuberculose diagnosticados"/>
    <m/>
    <m/>
    <n v="18372"/>
    <n v="18372"/>
    <n v="18372"/>
    <m/>
    <m/>
    <m/>
    <m/>
    <m/>
    <m/>
  </r>
  <r>
    <n v="65"/>
    <s v="4.4.1"/>
    <s v="Assegurar o controlo de qualidade externo supranacional"/>
    <x v="1"/>
    <x v="2"/>
    <n v="3"/>
    <x v="7"/>
    <s v="Numero de laboaratorio que interveem no controlo de qualidade"/>
    <s v="Casos de tuberculose diagnosticados"/>
    <m/>
    <m/>
    <n v="5701.36"/>
    <n v="5701.36"/>
    <n v="5701.36"/>
    <m/>
    <m/>
    <m/>
    <m/>
    <m/>
    <m/>
  </r>
  <r>
    <n v="66"/>
    <s v="4.4.1.1"/>
    <s v="Assistencia Técnica parao o controlo de qualidade externo supranacional"/>
    <x v="1"/>
    <x v="2"/>
    <n v="3"/>
    <x v="7"/>
    <m/>
    <s v="Casos de tuberculose diagnosticados"/>
    <m/>
    <m/>
    <n v="7701.97"/>
    <n v="7701.97"/>
    <n v="7701.97"/>
    <m/>
    <m/>
    <m/>
    <m/>
    <m/>
    <m/>
  </r>
  <r>
    <n v="67"/>
    <s v="4.4.2"/>
    <s v="Realizar controlo de qualidade das lâminas no laboratório nacional de referência, trimestralmente durante 5 anos"/>
    <x v="1"/>
    <x v="2"/>
    <n v="3"/>
    <x v="7"/>
    <s v="Numero de laboaratorio que interveem no controlo de qualidade "/>
    <s v="Casos de tuberculose diagnosticados"/>
    <m/>
    <m/>
    <n v="7592.33"/>
    <n v="7592.33"/>
    <n v="7592.33"/>
    <m/>
    <m/>
    <m/>
    <m/>
    <m/>
    <m/>
  </r>
  <r>
    <n v="68"/>
    <s v="4.7.1"/>
    <s v="Formar 25 Técnicos de Laboratórios (14 CDT, Incluindo 2 RAP, 6 HAM e 3 LNR) realização de Baciloscopia e controlo de qualidade (CQ) (1 sessão de 5 dias no Ano 1)"/>
    <x v="0"/>
    <x v="2"/>
    <n v="3"/>
    <x v="7"/>
    <s v="Nº de técnicos de laboratório formados"/>
    <s v="Casos de tuberculose diagnosticados"/>
    <m/>
    <m/>
    <n v="0"/>
    <n v="0"/>
    <m/>
    <m/>
    <m/>
    <m/>
    <m/>
    <m/>
    <n v="0"/>
  </r>
  <r>
    <n v="69"/>
    <s v="4.7.2"/>
    <s v="Reciclar 25 Técnicos de Laboratórios (14 CDT, Incluindo 2 RAP, 6 HAM E 3 LNR) realização de Baciloscopia e controlo de qualidade (CQ) (1 sessão de 5 dias no Ano 3)"/>
    <x v="0"/>
    <x v="2"/>
    <n v="3"/>
    <x v="7"/>
    <s v="Nº de técnicos de laboratório formados"/>
    <s v="Casos de tuberculose diagnosticados"/>
    <m/>
    <m/>
    <n v="0"/>
    <n v="0"/>
    <m/>
    <m/>
    <m/>
    <m/>
    <m/>
    <m/>
    <n v="0"/>
  </r>
  <r>
    <n v="70"/>
    <s v="4.8"/>
    <s v="Implementar o APSR (directrizes nacionais de APSR, guia de gestão de casos: de contactos e SR)"/>
    <x v="1"/>
    <x v="2"/>
    <n v="3"/>
    <x v="7"/>
    <s v="Diretrizes de APSR disponível"/>
    <s v="Casos de tuberculose diagnosticados"/>
    <m/>
    <m/>
    <n v="0"/>
    <n v="0"/>
    <n v="0"/>
    <m/>
    <m/>
    <m/>
    <m/>
    <m/>
    <m/>
  </r>
  <r>
    <n v="71"/>
    <s v="4.8.1"/>
    <s v="Financiamento das RX dos suspeitos e 325 pacientes TB "/>
    <x v="0"/>
    <x v="2"/>
    <n v="3"/>
    <x v="7"/>
    <s v="Diretrizes de APSR disponível"/>
    <s v="Casos de tuberculose diagnosticados"/>
    <m/>
    <m/>
    <n v="2708.33"/>
    <n v="2708.33"/>
    <m/>
    <m/>
    <m/>
    <m/>
    <n v="2708.33"/>
    <m/>
    <m/>
  </r>
  <r>
    <n v="72"/>
    <s v="4.9"/>
    <s v="1.9.Organizar visitas domiciliares em busca de contactos dos casos positivos, perdidos de vista."/>
    <x v="1"/>
    <x v="2"/>
    <n v="3"/>
    <x v="7"/>
    <s v="Numero de conctatos notificados e seguidos"/>
    <s v="Casos de tuberculose diagnosticados"/>
    <m/>
    <m/>
    <n v="7140"/>
    <n v="7140"/>
    <m/>
    <m/>
    <m/>
    <m/>
    <m/>
    <m/>
    <n v="7140"/>
  </r>
  <r>
    <n v="73"/>
    <s v="4.10.1"/>
    <s v="Formar 15 formadores sobre Sintomáticos Respiratórios, 1 sessão de 5 dias no Ano 1 "/>
    <x v="0"/>
    <x v="2"/>
    <n v="3"/>
    <x v="7"/>
    <s v="Numero de pretadores de cuidados de saude capacitados"/>
    <s v="Casos de tuberculose diagnosticados"/>
    <m/>
    <m/>
    <n v="0"/>
    <n v="0"/>
    <m/>
    <m/>
    <m/>
    <m/>
    <m/>
    <m/>
    <n v="0"/>
  </r>
  <r>
    <n v="74"/>
    <s v="4.10.2"/>
    <s v="Formar 100 tecnicos de saude sobre Sintomáticos Respiratórios, 4 sessão de 5 dias no Ano 1 "/>
    <x v="0"/>
    <x v="2"/>
    <n v="3"/>
    <x v="7"/>
    <s v="Numero de pretadores de cuidados de saude capacitados"/>
    <s v="Casos de tuberculose diagnosticados"/>
    <m/>
    <m/>
    <n v="0"/>
    <n v="0"/>
    <n v="0"/>
    <m/>
    <m/>
    <m/>
    <m/>
    <m/>
    <m/>
  </r>
  <r>
    <n v="75"/>
    <s v="4.10.3"/>
    <s v="Reciclar 100 tecnicos de saude sobre Sintomáticos Respiratórios, 4 sessão de 5 dias no Ano 2"/>
    <x v="0"/>
    <x v="2"/>
    <n v="3"/>
    <x v="7"/>
    <m/>
    <s v="Casos de tuberculose diagnosticados"/>
    <m/>
    <m/>
    <n v="0"/>
    <n v="0"/>
    <n v="0"/>
    <m/>
    <m/>
    <m/>
    <m/>
    <m/>
    <m/>
  </r>
  <r>
    <n v="76"/>
    <s v="4.11"/>
    <s v="1.12.Supervisionar trimestralmente os CDT "/>
    <x v="1"/>
    <x v="2"/>
    <n v="3"/>
    <x v="7"/>
    <s v="Numero de pretadores de cuidados de saude capacitados"/>
    <s v="Casos de tuberculose diagnosticados"/>
    <m/>
    <m/>
    <n v="3788.65"/>
    <n v="3788.65"/>
    <n v="3788.65"/>
    <m/>
    <m/>
    <m/>
    <m/>
    <m/>
    <m/>
  </r>
  <r>
    <n v="77"/>
    <s v="4.12"/>
    <s v="Aquisição de combustível para os distritos no apoio ao DOT ao nível comunitário"/>
    <x v="1"/>
    <x v="2"/>
    <n v="3"/>
    <x v="7"/>
    <m/>
    <s v="Casos de tuberculose diagnosticados"/>
    <m/>
    <m/>
    <n v="3070.2"/>
    <n v="3070.2"/>
    <n v="3070.2"/>
    <m/>
    <m/>
    <m/>
    <m/>
    <m/>
    <m/>
  </r>
  <r>
    <n v="78"/>
    <s v="4.13"/>
    <s v="Adquirir um microscopio de LED"/>
    <x v="1"/>
    <x v="2"/>
    <n v="3"/>
    <x v="7"/>
    <m/>
    <s v="Casos de tuberculose diagnosticados"/>
    <m/>
    <m/>
    <n v="0"/>
    <n v="0"/>
    <n v="0"/>
    <m/>
    <m/>
    <m/>
    <m/>
    <m/>
    <m/>
  </r>
  <r>
    <n v="79"/>
    <s v="5.1"/>
    <s v="Revisão  e impressão (do guia de manejo de caso de TB, modulos de formação)"/>
    <x v="1"/>
    <x v="2"/>
    <n v="3"/>
    <x v="8"/>
    <s v="Numero de documentos impressos"/>
    <s v="100% de casos detectados tratados"/>
    <m/>
    <m/>
    <n v="0"/>
    <n v="0"/>
    <n v="0"/>
    <m/>
    <m/>
    <m/>
    <m/>
    <m/>
    <m/>
  </r>
  <r>
    <n v="80"/>
    <s v="5.2"/>
    <s v="Assegurar o aprovisionamento em antituberculosos de 1º linha (pacote)"/>
    <x v="1"/>
    <x v="2"/>
    <n v="3"/>
    <x v="8"/>
    <s v="Numero de dias de ruptura"/>
    <s v="100% de casos detectados tratados"/>
    <m/>
    <m/>
    <n v="9430"/>
    <n v="9430"/>
    <m/>
    <m/>
    <m/>
    <n v="9430"/>
    <m/>
    <m/>
    <m/>
  </r>
  <r>
    <n v="81"/>
    <s v="5.2.1"/>
    <s v="Adquirir medicamentos para retratamento de 53 doentes durante 5 Anos"/>
    <x v="1"/>
    <x v="2"/>
    <n v="3"/>
    <x v="8"/>
    <m/>
    <s v="100% de casos detectados tratados"/>
    <m/>
    <m/>
    <n v="2304"/>
    <n v="2304"/>
    <m/>
    <m/>
    <m/>
    <n v="2304"/>
    <m/>
    <m/>
    <m/>
  </r>
  <r>
    <n v="82"/>
    <s v="5.2.2"/>
    <s v="Adquirir medicamentos de primeira linha para tratar um total de 19 crianças durante 5 Anos"/>
    <x v="1"/>
    <x v="2"/>
    <n v="3"/>
    <x v="8"/>
    <m/>
    <s v="100% de casos detectados tratados"/>
    <m/>
    <m/>
    <n v="220"/>
    <n v="220"/>
    <m/>
    <m/>
    <m/>
    <n v="220"/>
    <m/>
    <m/>
    <m/>
  </r>
  <r>
    <n v="83"/>
    <s v="5.3"/>
    <s v="Assegurar o controlo de qualidade nacional (CQ) dos medicamentos nos postos de distribuição (laboratório a ser identificado)"/>
    <x v="1"/>
    <x v="2"/>
    <n v="3"/>
    <x v="8"/>
    <s v="Numero de relatório de CQ"/>
    <s v="100% de casos detectados tratados"/>
    <m/>
    <m/>
    <n v="3058.62"/>
    <n v="3058.62"/>
    <n v="3058.62"/>
    <m/>
    <m/>
    <m/>
    <m/>
    <m/>
    <m/>
  </r>
  <r>
    <n v="84"/>
    <s v="5.4"/>
    <s v="Formar 24 supervisores (supervisão integrada), uma secção de 5 dias."/>
    <x v="0"/>
    <x v="1"/>
    <n v="2"/>
    <x v="1"/>
    <s v="Numero de supervisosres formados"/>
    <s v="100% de casos detectados tratados"/>
    <m/>
    <m/>
    <n v="0"/>
    <n v="0"/>
    <m/>
    <m/>
    <m/>
    <m/>
    <m/>
    <m/>
    <n v="0"/>
  </r>
  <r>
    <n v="85"/>
    <s v="5.5"/>
    <s v="Supervisionar os prestadores de cuidados de saúde"/>
    <x v="1"/>
    <x v="1"/>
    <n v="2"/>
    <x v="1"/>
    <s v="Numero de visitas de supervisão "/>
    <s v="100% de casos detectados tratados"/>
    <m/>
    <m/>
    <n v="3182.41"/>
    <n v="3182.41"/>
    <n v="3182.41"/>
    <m/>
    <m/>
    <m/>
    <m/>
    <m/>
    <m/>
  </r>
  <r>
    <n v="86"/>
    <s v="5.6"/>
    <s v="Assegurar a aplicação do tratamento directamente observado"/>
    <x v="1"/>
    <x v="2"/>
    <n v="3"/>
    <x v="8"/>
    <s v="Percentagem de estruturas que aplicam TODO"/>
    <s v="100% de casos detectados tratados"/>
    <m/>
    <m/>
    <n v="3070.2"/>
    <n v="3070.2"/>
    <n v="3070.2"/>
    <m/>
    <m/>
    <m/>
    <m/>
    <m/>
    <m/>
  </r>
  <r>
    <n v="87"/>
    <s v="5.7.1"/>
    <s v=" Formar 50 Activistas de ONG, Associações Locais e (10) Socoristas para sensibilização das comunidades sobre TB  (TB/HIV; TB/MR)- (5 Dias, em 2 sessões de 20 pessoas em ST e uma sessão de 10 pessoas na RAP, Ano 1)"/>
    <x v="2"/>
    <x v="2"/>
    <n v="3"/>
    <x v="6"/>
    <m/>
    <s v="100% de casos detectados tratados"/>
    <m/>
    <m/>
    <n v="0"/>
    <n v="0"/>
    <n v="0"/>
    <m/>
    <m/>
    <m/>
    <m/>
    <m/>
    <m/>
  </r>
  <r>
    <n v="88"/>
    <s v="5.7.2"/>
    <s v=" Reciclar 50 Activistas de ONG, Associações Locais e (10) Socoristas para sensibilização das comunidades sobre TB  (TB/HIV; TB/MR)- (5 Dias, em 2 sessões de 20 pessoas em ST e uma sessão de 10 pessoas na RAP, ano 3)"/>
    <x v="2"/>
    <x v="2"/>
    <n v="3"/>
    <x v="6"/>
    <m/>
    <s v="100% de casos detectados tratados"/>
    <m/>
    <m/>
    <n v="0"/>
    <n v="0"/>
    <m/>
    <m/>
    <m/>
    <m/>
    <m/>
    <m/>
    <n v="0"/>
  </r>
  <r>
    <n v="89"/>
    <s v="5.8"/>
    <s v="Apoio nutricional e Psico-social à 150 pacientes, durante 5 anos"/>
    <x v="0"/>
    <x v="2"/>
    <n v="3"/>
    <x v="8"/>
    <m/>
    <s v="100% de casos detectados tratados"/>
    <m/>
    <m/>
    <n v="3000"/>
    <n v="3000"/>
    <m/>
    <m/>
    <m/>
    <m/>
    <m/>
    <m/>
    <n v="3000"/>
  </r>
  <r>
    <n v="90"/>
    <s v="5.9"/>
    <s v="Formar e reciclar Médicos em manejo dos casos e estratégia Stop TB, co-infecção TB/HIV (5 Dias, 40 participantes) 20 participantes no ano 1 e 20 no ano 3"/>
    <x v="1"/>
    <x v="2"/>
    <n v="3"/>
    <x v="8"/>
    <m/>
    <s v="100% de casos detectados tratados"/>
    <m/>
    <m/>
    <n v="0"/>
    <n v="0"/>
    <m/>
    <m/>
    <m/>
    <m/>
    <m/>
    <m/>
    <n v="0"/>
  </r>
  <r>
    <n v="91"/>
    <s v="5.10"/>
    <s v=" Formar 100 enfermeiros em manejo dos casos e estratégia Stop TB, co-infecção TB/HIV e  (2 sessões por ano de 5 Dias 50 no ano 1 e 50 no ano 3), Sendo 80 ST+20 RAP"/>
    <x v="1"/>
    <x v="2"/>
    <n v="3"/>
    <x v="8"/>
    <m/>
    <s v="100% de casos detectados tratados"/>
    <m/>
    <m/>
    <n v="0"/>
    <n v="0"/>
    <m/>
    <m/>
    <m/>
    <m/>
    <m/>
    <m/>
    <n v="0"/>
  </r>
  <r>
    <n v="92"/>
    <s v="5.11"/>
    <s v="Gestão dos efeitos secundários "/>
    <x v="1"/>
    <x v="2"/>
    <n v="3"/>
    <x v="8"/>
    <m/>
    <s v="100% de casos detectados tratados"/>
    <m/>
    <m/>
    <n v="2500"/>
    <n v="2500"/>
    <m/>
    <m/>
    <m/>
    <m/>
    <n v="2500"/>
    <m/>
    <m/>
  </r>
  <r>
    <n v="93"/>
    <s v="6.1"/>
    <s v="Implementar o órgão de coordenação central e distrital das actividades de colaboração TB/HIV "/>
    <x v="1"/>
    <x v="3"/>
    <n v="4"/>
    <x v="9"/>
    <s v="Realização de uma reunião anual"/>
    <s v="prestação de serv. Integ. TB/HIV"/>
    <m/>
    <m/>
    <n v="0"/>
    <n v="0"/>
    <n v="0"/>
    <n v="0"/>
    <n v="0"/>
    <n v="0"/>
    <n v="0"/>
    <m/>
    <n v="0"/>
  </r>
  <r>
    <n v="94"/>
    <s v="6.2"/>
    <s v="Elaborar um Guia Nacional de Co-infeccção"/>
    <x v="1"/>
    <x v="3"/>
    <n v="4"/>
    <x v="9"/>
    <s v=" Guia nacional de coinfecção disponível"/>
    <s v="prestação de serv. Integ. TB/HIV"/>
    <m/>
    <m/>
    <n v="0"/>
    <n v="0"/>
    <m/>
    <m/>
    <m/>
    <m/>
    <m/>
    <m/>
    <n v="0"/>
  </r>
  <r>
    <n v="95"/>
    <s v="6.3"/>
    <s v="Colaborar na Integração dos instrumentos de registos e de reportagem de PNLS  para seguir as actividades  de 3 Is."/>
    <x v="1"/>
    <x v="3"/>
    <n v="4"/>
    <x v="9"/>
    <s v="Iinstrumentos de registos e de reportagem das actividades adaptados e disponíveis"/>
    <s v="prestação de serv. Integ. TB/HIV"/>
    <m/>
    <m/>
    <n v="0"/>
    <n v="0"/>
    <n v="0"/>
    <n v="0"/>
    <n v="0"/>
    <n v="0"/>
    <n v="0"/>
    <m/>
    <n v="0"/>
  </r>
  <r>
    <n v="96"/>
    <s v="6.4"/>
    <s v="Organizar reuniões de planificação e seguimento das actividades trimestralmente"/>
    <x v="1"/>
    <x v="3"/>
    <n v="4"/>
    <x v="9"/>
    <s v="Nº de reuniões realizadas"/>
    <s v="prestação de serv. Integ. TB/HIV"/>
    <m/>
    <m/>
    <n v="366.67"/>
    <n v="366.67"/>
    <n v="366.67"/>
    <m/>
    <m/>
    <m/>
    <m/>
    <m/>
    <m/>
  </r>
  <r>
    <n v="97"/>
    <s v="6.5"/>
    <s v="Aprovisionar as unidades sanitárias com a isoniazida aos pacientes de HIV elegíveis (4.771 pacientes previsto nos 5 anos)"/>
    <x v="1"/>
    <x v="3"/>
    <n v="4"/>
    <x v="10"/>
    <s v="Nº de Isoniasida destribuidos"/>
    <s v="prestação de serv. Integ. TB/HIV"/>
    <m/>
    <m/>
    <n v="975"/>
    <n v="975"/>
    <m/>
    <m/>
    <m/>
    <m/>
    <n v="975"/>
    <m/>
    <m/>
  </r>
  <r>
    <n v="98"/>
    <s v="6.6"/>
    <s v="Assegurar a despistagem da TB (teste PPD)"/>
    <x v="1"/>
    <x v="3"/>
    <n v="4"/>
    <x v="10"/>
    <s v="numero e percentagem de PVHVI testados"/>
    <s v="prestação de serv. Integ. TB/HIV"/>
    <m/>
    <m/>
    <n v="1262.48"/>
    <n v="1262.48"/>
    <m/>
    <m/>
    <m/>
    <m/>
    <m/>
    <m/>
    <n v="1262.48"/>
  </r>
  <r>
    <n v="99"/>
    <s v="6.8"/>
    <s v="Reforçar o aconselhamento da prevenção do VIH nos doentes TB"/>
    <x v="1"/>
    <x v="3"/>
    <n v="4"/>
    <x v="9"/>
    <m/>
    <s v="prestação de serv. Integ. TB/HIV"/>
    <m/>
    <m/>
    <n v="0"/>
    <n v="0"/>
    <m/>
    <m/>
    <m/>
    <m/>
    <m/>
    <m/>
    <n v="0"/>
  </r>
  <r>
    <n v="100"/>
    <s v="6.9"/>
    <s v="Reforçar as capacidades dos prestadores de cuidados de saúde em TB/HIV (Médicos, 100 enfermeiros,"/>
    <x v="1"/>
    <x v="3"/>
    <n v="4"/>
    <x v="9"/>
    <s v="Nº de médicos formados em TB/HIV"/>
    <s v="prestação de serv. Integ. TB/HIV"/>
    <m/>
    <m/>
    <n v="0"/>
    <n v="0"/>
    <m/>
    <m/>
    <m/>
    <m/>
    <m/>
    <m/>
    <n v="0"/>
  </r>
  <r>
    <n v="101"/>
    <s v="6.10"/>
    <s v="Determinar a prevalência d de TB nas pessoas que vivem com VIH "/>
    <x v="1"/>
    <x v="3"/>
    <n v="4"/>
    <x v="10"/>
    <s v="Prevalência de TB nas pessoas que vivem com HIV"/>
    <s v="prestação de serv. Integ. TB/HIV"/>
    <m/>
    <m/>
    <n v="2621.6928999999996"/>
    <n v="2621.6928999999996"/>
    <m/>
    <m/>
    <m/>
    <m/>
    <n v="2621.6928999999996"/>
    <m/>
    <m/>
  </r>
  <r>
    <n v="102"/>
    <s v="6.11"/>
    <s v="Determinar VIH nos pacientes com TB através dos postos sentinelas"/>
    <x v="1"/>
    <x v="3"/>
    <n v="4"/>
    <x v="10"/>
    <s v="Prevalência de VIH nos pacientes TB"/>
    <s v="prestação de serv. Integ. TB/HIV"/>
    <m/>
    <m/>
    <n v="0"/>
    <n v="0"/>
    <n v="0"/>
    <n v="0"/>
    <n v="0"/>
    <n v="0"/>
    <n v="0"/>
    <m/>
    <n v="0"/>
  </r>
  <r>
    <n v="103"/>
    <s v="6.12"/>
    <s v="Formar 15 formadores em TB/HIV, 1 secção de 5 dias no Ano 2"/>
    <x v="1"/>
    <x v="3"/>
    <n v="4"/>
    <x v="9"/>
    <m/>
    <s v="prestação de serv. Integ. TB/HIV"/>
    <m/>
    <m/>
    <n v="0"/>
    <n v="0"/>
    <n v="0"/>
    <m/>
    <m/>
    <m/>
    <m/>
    <m/>
    <m/>
  </r>
  <r>
    <n v="104"/>
    <s v="6.13"/>
    <s v="Reciclar 15 formadores em TB/HIV, 1 secção de 5 dias no Ano 4"/>
    <x v="1"/>
    <x v="3"/>
    <n v="4"/>
    <x v="9"/>
    <m/>
    <s v="prestação de serv. Integ. TB/HIV"/>
    <m/>
    <m/>
    <n v="0"/>
    <n v="0"/>
    <n v="0"/>
    <m/>
    <m/>
    <m/>
    <m/>
    <m/>
    <m/>
  </r>
  <r>
    <n v="105"/>
    <s v="6.14"/>
    <s v="Adquirir cotrimoxazol"/>
    <x v="1"/>
    <x v="3"/>
    <n v="4"/>
    <x v="10"/>
    <m/>
    <s v="prestação de serv. Integ. TB/HIV"/>
    <m/>
    <m/>
    <n v="0"/>
    <n v="0"/>
    <n v="0"/>
    <n v="0"/>
    <n v="0"/>
    <n v="0"/>
    <n v="0"/>
    <m/>
    <n v="0"/>
  </r>
  <r>
    <n v="106"/>
    <s v="6.15"/>
    <s v="Adquirir ARV"/>
    <x v="1"/>
    <x v="3"/>
    <n v="4"/>
    <x v="10"/>
    <m/>
    <s v="prestação de serv. Integ. TB/HIV"/>
    <m/>
    <m/>
    <n v="0"/>
    <n v="0"/>
    <n v="0"/>
    <n v="0"/>
    <n v="0"/>
    <n v="0"/>
    <n v="0"/>
    <m/>
    <n v="0"/>
  </r>
  <r>
    <n v="107"/>
    <s v="6.16"/>
    <s v="Adquirir teste de VIH"/>
    <x v="1"/>
    <x v="3"/>
    <n v="4"/>
    <x v="10"/>
    <m/>
    <s v="prestação de serv. Integ. TB/HIV"/>
    <m/>
    <m/>
    <n v="0"/>
    <n v="0"/>
    <n v="0"/>
    <n v="0"/>
    <n v="0"/>
    <n v="0"/>
    <n v="0"/>
    <m/>
    <n v="0"/>
  </r>
  <r>
    <n v="108"/>
    <s v="6.17"/>
    <s v="Colaborar na Integração dos instrumentos de registos e de reportagem para seguir as actividades de 3 Is."/>
    <x v="1"/>
    <x v="3"/>
    <n v="4"/>
    <x v="9"/>
    <m/>
    <s v="prestação de serv. Integ. TB/HIV"/>
    <m/>
    <m/>
    <n v="2000"/>
    <n v="2000"/>
    <m/>
    <m/>
    <m/>
    <m/>
    <m/>
    <m/>
    <n v="2000"/>
  </r>
  <r>
    <n v="109"/>
    <s v="6.18"/>
    <s v="Atelier para Elaboração da politica de controlo de infecção (25 participantes durante 5 dias)"/>
    <x v="1"/>
    <x v="3"/>
    <n v="4"/>
    <x v="9"/>
    <m/>
    <s v="prestação de serv. Integ. TB/HIV"/>
    <m/>
    <m/>
    <n v="0"/>
    <n v="0"/>
    <m/>
    <m/>
    <m/>
    <m/>
    <n v="0"/>
    <m/>
    <m/>
  </r>
  <r>
    <n v="110"/>
    <s v="7.1"/>
    <s v="Rever reproduzir o guia de Gestão de TB MR"/>
    <x v="1"/>
    <x v="4"/>
    <n v="5"/>
    <x v="11"/>
    <s v="Numero de guia disponivel"/>
    <s v="Capacidades de PNLT para gestão de  TB MR  reforçadas"/>
    <m/>
    <m/>
    <n v="0"/>
    <n v="0"/>
    <n v="0"/>
    <m/>
    <m/>
    <m/>
    <m/>
    <m/>
    <m/>
  </r>
  <r>
    <n v="111"/>
    <s v="7.2"/>
    <s v="Elaborar o documento de politica de controlo de infecção TB nos serviços de saúde e estabelecimentos colectivos e respectivo plano"/>
    <x v="1"/>
    <x v="4"/>
    <n v="5"/>
    <x v="11"/>
    <s v="Documentos elaborados e  disponiveis"/>
    <s v="Capacidades de PNLT para gestão de  TB MR  reforçadas"/>
    <m/>
    <m/>
    <n v="0"/>
    <n v="0"/>
    <n v="0"/>
    <m/>
    <m/>
    <m/>
    <m/>
    <m/>
    <m/>
  </r>
  <r>
    <n v="112"/>
    <s v="7.3"/>
    <s v=" Formar  15 técnicos em gestão de TB MR, 1 sessão de 5 dias (ano 3 e ano 4)"/>
    <x v="0"/>
    <x v="4"/>
    <n v="5"/>
    <x v="11"/>
    <s v="Numero técnicos formados"/>
    <s v="Capacidades de PNLT para gestão de  TB MR  reforçadas"/>
    <m/>
    <m/>
    <n v="0"/>
    <n v="0"/>
    <n v="0"/>
    <m/>
    <m/>
    <m/>
    <m/>
    <m/>
    <m/>
  </r>
  <r>
    <n v="113"/>
    <s v="7.4.1"/>
    <s v="Formar 2 técnicos de laboratório em cultura, no exteriordo país."/>
    <x v="1"/>
    <x v="4"/>
    <n v="5"/>
    <x v="12"/>
    <s v="Numero técnicos formados"/>
    <s v="Capacidades de PNLT para gestão de  TB MR  reforçadas"/>
    <m/>
    <m/>
    <n v="0"/>
    <n v="0"/>
    <n v="0"/>
    <n v="0"/>
    <m/>
    <m/>
    <m/>
    <m/>
    <m/>
  </r>
  <r>
    <n v="114"/>
    <s v="7.5"/>
    <s v=" Implementar o Laboratório de cultura e o teste de sensibilidade"/>
    <x v="1"/>
    <x v="4"/>
    <n v="5"/>
    <x v="12"/>
    <s v="Numero de exames realizados localmente"/>
    <s v="Capacidades de PNLT para gestão de  TB MR  reforçadas"/>
    <m/>
    <m/>
    <n v="0"/>
    <n v="0"/>
    <m/>
    <n v="0"/>
    <m/>
    <m/>
    <m/>
    <m/>
    <m/>
  </r>
  <r>
    <n v="115"/>
    <s v="7.6"/>
    <s v="Aprovisionar o país de uma de teste rápido (Gene-Xpert e cartuchos)"/>
    <x v="1"/>
    <x v="4"/>
    <n v="5"/>
    <x v="12"/>
    <s v="Numero de dias de ruptura"/>
    <s v="Capacidades de PNLT para gestão de  TB MR  reforçadas"/>
    <m/>
    <m/>
    <n v="22942"/>
    <n v="22942"/>
    <n v="22942"/>
    <m/>
    <m/>
    <m/>
    <m/>
    <m/>
    <m/>
  </r>
  <r>
    <n v="116"/>
    <s v="7.7"/>
    <s v="Aprovisionar o laboratório de cultura em consumíveis e reagente "/>
    <x v="1"/>
    <x v="4"/>
    <n v="5"/>
    <x v="12"/>
    <s v="Numero de dias de ruptura"/>
    <s v="Capacidades de PNLT para gestão de  TB MR  reforçadas"/>
    <m/>
    <m/>
    <n v="19680"/>
    <n v="19680"/>
    <n v="19680"/>
    <n v="0"/>
    <m/>
    <m/>
    <m/>
    <m/>
    <m/>
  </r>
  <r>
    <n v="117"/>
    <s v="7.8"/>
    <s v="Reforçar o sistema de transporte de amostras"/>
    <x v="1"/>
    <x v="4"/>
    <n v="5"/>
    <x v="12"/>
    <s v="Numero de amostras referidas das US"/>
    <s v="Capacidades de PNLT para gestão de  TB MR  reforçadas"/>
    <m/>
    <m/>
    <n v="1003.33"/>
    <n v="1003.33"/>
    <n v="1003.33"/>
    <m/>
    <m/>
    <m/>
    <m/>
    <m/>
    <m/>
  </r>
  <r>
    <n v="118"/>
    <s v="7.9"/>
    <s v="Criar e fazer funcionar um grupo de coordenação gestão para TB MR. (grupo técnico nacional)"/>
    <x v="0"/>
    <x v="4"/>
    <n v="5"/>
    <x v="11"/>
    <s v="Numero de relatorio das actividades"/>
    <s v="Capacidades de PNLT para gestão de  TB MR  reforçadas"/>
    <m/>
    <m/>
    <n v="0"/>
    <n v="0"/>
    <n v="0"/>
    <n v="0"/>
    <n v="0"/>
    <n v="0"/>
    <n v="0"/>
    <m/>
    <n v="0"/>
  </r>
  <r>
    <n v="119"/>
    <s v="7.10"/>
    <s v="Assegurar o tratamento de 2ªlinha a todos os casos de TBMR conforme as directrizes nacional (53 pacotes)"/>
    <x v="1"/>
    <x v="4"/>
    <n v="5"/>
    <x v="8"/>
    <s v="Numero de pacientes submetidos ao tratamento de 2ªlinha"/>
    <s v="Capacidades de PNLT para gestão de  TB MR  reforçadas"/>
    <m/>
    <m/>
    <n v="35363"/>
    <n v="35363"/>
    <n v="35363"/>
    <m/>
    <m/>
    <m/>
    <m/>
    <m/>
    <m/>
  </r>
  <r>
    <m/>
    <s v="7.11"/>
    <s v="Assegurar o manejo dos efeitos secundários"/>
    <x v="1"/>
    <x v="4"/>
    <n v="6"/>
    <x v="8"/>
    <m/>
    <m/>
    <m/>
    <m/>
    <n v="238.1"/>
    <n v="238.1"/>
    <m/>
    <m/>
    <m/>
    <m/>
    <n v="238.1"/>
    <m/>
    <m/>
  </r>
  <r>
    <n v="120"/>
    <s v="7.12"/>
    <s v="Assegurar Apoio nutricional e psico social"/>
    <x v="0"/>
    <x v="4"/>
    <n v="5"/>
    <x v="8"/>
    <s v="Percentagem de pacientes que recebem cesta básica"/>
    <s v="Capacidades de PNLT para gestão de  TB MR  reforçadas"/>
    <m/>
    <m/>
    <n v="9523.81"/>
    <n v="9523.81"/>
    <n v="9523.81"/>
    <m/>
    <m/>
    <m/>
    <m/>
    <m/>
    <m/>
  </r>
  <r>
    <n v="121"/>
    <s v="7.13"/>
    <s v="Assegurar a Vigilância da resistência (implementar a vigilância sentinela)"/>
    <x v="1"/>
    <x v="4"/>
    <n v="5"/>
    <x v="11"/>
    <s v="Relatório de vigilância sentinela disponivel"/>
    <s v="Capacidades de PNLT para gestão de  TB MR  reforçadas"/>
    <m/>
    <m/>
    <n v="1423.33"/>
    <n v="1423.33"/>
    <n v="1423.33"/>
    <m/>
    <m/>
    <m/>
    <m/>
    <m/>
    <m/>
  </r>
  <r>
    <n v="122"/>
    <s v="7.14"/>
    <s v="Supervisionar as actividades de rotina da TB MR mensalmente"/>
    <x v="1"/>
    <x v="4"/>
    <n v="5"/>
    <x v="11"/>
    <s v="Numero de supervisão realizadas"/>
    <s v="Capacidades de PNLT para gestão de  TB MR  reforçadas"/>
    <m/>
    <m/>
    <n v="747.33"/>
    <n v="747.33"/>
    <m/>
    <m/>
    <m/>
    <m/>
    <n v="747.33"/>
    <m/>
    <m/>
  </r>
  <r>
    <n v="123"/>
    <s v="7.15"/>
    <s v="Assegurar o envio de amostras de pacientes suspeitos para CPC, durante 5 anos"/>
    <x v="1"/>
    <x v="4"/>
    <n v="5"/>
    <x v="12"/>
    <m/>
    <s v="Capacidades de PNLT para gestão de  TB MR  reforçadas"/>
    <m/>
    <m/>
    <n v="0"/>
    <n v="0"/>
    <n v="0"/>
    <n v="0"/>
    <n v="0"/>
    <n v="0"/>
    <n v="0"/>
    <m/>
    <n v="0"/>
  </r>
  <r>
    <n v="124"/>
    <s v="7.16"/>
    <s v="Disponibilizar o plano de seguimento dos casos TB MR conforme as directrizes da OMS"/>
    <x v="0"/>
    <x v="4"/>
    <n v="5"/>
    <x v="11"/>
    <m/>
    <s v="Capacidades de PNLT para gestão de  TB MR  reforçadas"/>
    <m/>
    <m/>
    <n v="0"/>
    <n v="0"/>
    <n v="0"/>
    <n v="0"/>
    <n v="0"/>
    <n v="0"/>
    <n v="0"/>
    <m/>
    <n v="0"/>
  </r>
  <r>
    <n v="125"/>
    <s v="7.17"/>
    <s v="Reabilitação e adapatação das estruturas existentes ao  tratamento de TB MR "/>
    <x v="1"/>
    <x v="4"/>
    <n v="5"/>
    <x v="8"/>
    <m/>
    <s v="Capacidades de PNLT para gestão de  TB MR  reforçadas"/>
    <m/>
    <m/>
    <n v="0"/>
    <n v="0"/>
    <n v="0"/>
    <m/>
    <m/>
    <m/>
    <m/>
    <m/>
    <m/>
  </r>
  <r>
    <n v="126"/>
    <s v="7.18"/>
    <s v="Assegurar a formação de 54 agentes de saúde n manejo de casos da Tuberculose multiresistente (18 médicos, 18 enfermeiros, 9 técnicos de farmácia e 9 de laboratório)"/>
    <x v="1"/>
    <x v="4"/>
    <n v="5"/>
    <x v="8"/>
    <m/>
    <s v="Capacidades de PNLT para gestão de  TB MR  reforçadas"/>
    <m/>
    <m/>
    <n v="0"/>
    <n v="0"/>
    <n v="0"/>
    <m/>
    <m/>
    <m/>
    <m/>
    <m/>
    <m/>
  </r>
  <r>
    <n v="127"/>
    <s v="7.19"/>
    <s v="Fazer advocacia para a mobilização e a alocação dos recursos necessários para a luta contra a TBMR"/>
    <x v="1"/>
    <x v="4"/>
    <n v="5"/>
    <x v="11"/>
    <m/>
    <s v="Capacidades de PNLT para gestão de  TB MR  reforçadas"/>
    <m/>
    <m/>
    <n v="152.30000000000001"/>
    <n v="152.30000000000001"/>
    <m/>
    <m/>
    <m/>
    <m/>
    <n v="152.30000000000001"/>
    <m/>
    <m/>
  </r>
  <r>
    <n v="128"/>
    <s v="7.20"/>
    <s v="Assegurar a formação de três (3) quadros do programa em gestão de TB multirresistente."/>
    <x v="1"/>
    <x v="4"/>
    <n v="5"/>
    <x v="11"/>
    <m/>
    <s v="Capacidades de PNLT para gestão de  TB MR  reforçadas"/>
    <m/>
    <m/>
    <n v="0"/>
    <n v="0"/>
    <n v="0"/>
    <m/>
    <m/>
    <m/>
    <m/>
    <m/>
    <m/>
  </r>
  <r>
    <n v="129"/>
    <s v="7.21"/>
    <s v="Formar 20 pessoal de terreno para a recolha e transporte de amostras"/>
    <x v="0"/>
    <x v="4"/>
    <n v="5"/>
    <x v="12"/>
    <m/>
    <s v="Capacidades de PNLT para gestão de  TB MR  reforçadas"/>
    <m/>
    <m/>
    <n v="0"/>
    <n v="0"/>
    <m/>
    <m/>
    <m/>
    <m/>
    <m/>
    <m/>
    <n v="0"/>
  </r>
  <r>
    <n v="130"/>
    <s v="7.22"/>
    <s v="Implementar o sistema de rastreamento das amostras do desde a recolha até ao tratamento"/>
    <x v="1"/>
    <x v="4"/>
    <n v="5"/>
    <x v="12"/>
    <m/>
    <s v="Capacidades de PNLT para gestão de  TB MR  reforçadas"/>
    <m/>
    <m/>
    <n v="750"/>
    <n v="750"/>
    <m/>
    <m/>
    <m/>
    <m/>
    <n v="750"/>
    <m/>
    <m/>
  </r>
  <r>
    <n v="131"/>
    <s v="7.23"/>
    <s v="Tratar 100% dos casos de TB MR confirmados  até 2017"/>
    <x v="1"/>
    <x v="4"/>
    <n v="5"/>
    <x v="8"/>
    <m/>
    <s v="Capacidades de PNLT para gestão de  TB MR  reforçadas"/>
    <m/>
    <m/>
    <n v="0"/>
    <n v="0"/>
    <n v="0"/>
    <n v="0"/>
    <n v="0"/>
    <n v="0"/>
    <n v="0"/>
    <m/>
    <n v="0"/>
  </r>
  <r>
    <n v="132"/>
    <s v="7.24"/>
    <s v="Assegurar o tratamento diretamente observado (TDO) a todos os os pacientes MR em tratamento"/>
    <x v="1"/>
    <x v="4"/>
    <n v="5"/>
    <x v="8"/>
    <m/>
    <s v="Capacidades de PNLT para gestão de  TB MR  reforçadas"/>
    <m/>
    <m/>
    <n v="6103.6"/>
    <n v="6103.6"/>
    <n v="6103.6"/>
    <m/>
    <m/>
    <m/>
    <m/>
    <m/>
    <m/>
  </r>
  <r>
    <n v="133"/>
    <s v="7.25"/>
    <s v="Identificar todos os pacientes irregulares ao tratamento"/>
    <x v="1"/>
    <x v="4"/>
    <n v="5"/>
    <x v="8"/>
    <m/>
    <s v="Capacidades de PNLT para gestão de  TB MR  reforçadas"/>
    <m/>
    <m/>
    <n v="0"/>
    <n v="0"/>
    <n v="0"/>
    <n v="0"/>
    <n v="0"/>
    <n v="0"/>
    <n v="0"/>
    <m/>
    <n v="0"/>
  </r>
  <r>
    <n v="134"/>
    <s v="7.26"/>
    <s v="Assegurar o seguimento dos efeitos adversos do tratamento TB MR nos doentes colocados sob tratamento, até 2017"/>
    <x v="1"/>
    <x v="4"/>
    <n v="5"/>
    <x v="8"/>
    <m/>
    <s v="Capacidades de PNLT para gestão de  TB MR  reforçadas"/>
    <m/>
    <m/>
    <n v="319.39999999999998"/>
    <n v="319.39999999999998"/>
    <m/>
    <m/>
    <m/>
    <m/>
    <n v="319.39999999999998"/>
    <m/>
    <m/>
  </r>
  <r>
    <n v="135"/>
    <s v="7.27"/>
    <s v="Assegurar o manejo dos efeitos adversos a qualquer paciente sob tratamento, até 2017"/>
    <x v="1"/>
    <x v="4"/>
    <n v="5"/>
    <x v="8"/>
    <m/>
    <s v="Capacidades de PNLT para gestão de  TB MR  reforçadas"/>
    <m/>
    <m/>
    <n v="4608"/>
    <n v="4608"/>
    <m/>
    <m/>
    <m/>
    <m/>
    <n v="4608"/>
    <m/>
    <m/>
  </r>
  <r>
    <n v="136"/>
    <s v="7.28"/>
    <s v=" Formar  - para cada paciente ao tratamento - um membro da Comunidade para a realização do TDO, até 2017 (488 Membres de la communauté)"/>
    <x v="1"/>
    <x v="4"/>
    <n v="5"/>
    <x v="13"/>
    <s v="Percentagem de pacientes com efeitos secundários que foram tratados"/>
    <s v="Capacidades de PNLT para gestão de  TB MR  reforçadas"/>
    <m/>
    <m/>
    <n v="2780.3"/>
    <n v="2780.3"/>
    <n v="2780.3"/>
    <m/>
    <m/>
    <m/>
    <m/>
    <m/>
    <m/>
  </r>
  <r>
    <n v="137"/>
    <s v="7.29"/>
    <s v="Implementar até 2015, o mecanismo de farmacovigilância para pacientes em tratamento."/>
    <x v="1"/>
    <x v="4"/>
    <n v="5"/>
    <x v="8"/>
    <m/>
    <s v="Capacidades de PNLT para gestão de  TB MR  reforçadas"/>
    <m/>
    <m/>
    <n v="5584.7"/>
    <n v="5584.7"/>
    <n v="5584.7"/>
    <m/>
    <m/>
    <m/>
    <m/>
    <m/>
    <m/>
  </r>
  <r>
    <n v="138"/>
    <s v="7.30"/>
    <s v="Treinar 16 rofessionais para a utilização das orientações e ferramentas de coleta de dados"/>
    <x v="1"/>
    <x v="4"/>
    <n v="5"/>
    <x v="11"/>
    <m/>
    <s v="Capacidades de PNLT para gestão de  TB MR  reforçadas"/>
    <m/>
    <m/>
    <n v="0"/>
    <n v="0"/>
    <m/>
    <m/>
    <m/>
    <m/>
    <m/>
    <m/>
    <n v="0"/>
  </r>
  <r>
    <n v="139"/>
    <s v="7.31"/>
    <s v="Formar 50 gestores do sistema de saúde na exploração e análise de dados para tomada de decisão"/>
    <x v="0"/>
    <x v="4"/>
    <n v="5"/>
    <x v="11"/>
    <m/>
    <s v="Capacidades de PNLT para gestão de  TB MR  reforçadas"/>
    <m/>
    <m/>
    <n v="0"/>
    <n v="0"/>
    <m/>
    <m/>
    <m/>
    <m/>
    <m/>
    <m/>
    <n v="0"/>
  </r>
  <r>
    <n v="140"/>
    <s v="7.32"/>
    <s v="Advogar junto aos decisores (CNE, DAF e MSAS,.) para o planificação e orçamentação da supervisão, de forma regular "/>
    <x v="2"/>
    <x v="4"/>
    <n v="5"/>
    <x v="11"/>
    <m/>
    <s v="Capacidades de PNLT para gestão de  TB MR  reforçadas"/>
    <m/>
    <m/>
    <n v="0"/>
    <n v="0"/>
    <m/>
    <m/>
    <m/>
    <m/>
    <n v="0"/>
    <m/>
    <m/>
  </r>
  <r>
    <n v="141"/>
    <s v="7.33"/>
    <s v="Rever e alinhar o Plano S &amp; A TBMR  ao caneta 2013-2017"/>
    <x v="1"/>
    <x v="4"/>
    <n v="5"/>
    <x v="11"/>
    <m/>
    <m/>
    <m/>
    <m/>
    <n v="0"/>
    <n v="0"/>
    <n v="0"/>
    <m/>
    <m/>
    <m/>
    <m/>
    <m/>
    <m/>
  </r>
  <r>
    <n v="142"/>
    <s v="7.34"/>
    <s v="Elaborar directrizes de vigilância de TBMR"/>
    <x v="1"/>
    <x v="4"/>
    <n v="5"/>
    <x v="11"/>
    <m/>
    <s v="Capacidades de PNLT para gestão de  TB MR  reforçadas"/>
    <m/>
    <m/>
    <n v="0"/>
    <n v="0"/>
    <m/>
    <m/>
    <n v="0"/>
    <m/>
    <m/>
    <m/>
    <m/>
  </r>
  <r>
    <n v="143"/>
    <s v="7.35"/>
    <s v="Doptar o PNLT de um ponto focal de TBMR  "/>
    <x v="1"/>
    <x v="4"/>
    <n v="5"/>
    <x v="11"/>
    <m/>
    <s v="Capacidades de PNLT para gestão de  TB MR  reforçadas"/>
    <m/>
    <m/>
    <n v="0"/>
    <n v="0"/>
    <n v="0"/>
    <n v="0"/>
    <n v="0"/>
    <n v="0"/>
    <n v="0"/>
    <m/>
    <n v="0"/>
  </r>
  <r>
    <n v="144"/>
    <s v="7.36"/>
    <s v="Reforçar a capacidade (formar e reciclar) dos quadros para a gestão de TBMR"/>
    <x v="1"/>
    <x v="4"/>
    <n v="5"/>
    <x v="11"/>
    <m/>
    <s v="Capacidades de PNLT para gestão de  TB MR  reforçadas"/>
    <m/>
    <m/>
    <n v="0"/>
    <n v="0"/>
    <m/>
    <m/>
    <m/>
    <m/>
    <m/>
    <m/>
    <n v="0"/>
  </r>
  <r>
    <n v="145"/>
    <s v="7.37"/>
    <s v="Elaborar o plano nacional para controlo da infecção tuberculina em São Tomé e Príncipe até finais de 2015"/>
    <x v="1"/>
    <x v="4"/>
    <n v="5"/>
    <x v="11"/>
    <m/>
    <s v="Elaborar o plano nacional para o controlo da infecção tuberculosa em STP até final de 2015"/>
    <m/>
    <m/>
    <n v="0"/>
    <n v="0"/>
    <m/>
    <m/>
    <n v="0"/>
    <m/>
    <m/>
    <m/>
    <m/>
  </r>
  <r>
    <n v="146"/>
    <s v="7.38"/>
    <s v="Aprovisionar as estruturas de saúde com TB MR de meios de protecção individual contra a infecção tuberculosa (máscaras respiradoras)"/>
    <x v="1"/>
    <x v="4"/>
    <n v="5"/>
    <x v="14"/>
    <m/>
    <s v="Capacidades de PNLT para gestão de  TB MR  reforçadas"/>
    <m/>
    <m/>
    <n v="24500"/>
    <n v="24500"/>
    <n v="24500"/>
    <m/>
    <m/>
    <m/>
    <m/>
    <m/>
    <m/>
  </r>
  <r>
    <n v="147"/>
    <s v="7.39"/>
    <s v="Formar 150 profissionais de saúde no controlo da infecção  eTB MR nas unidades sanitárias"/>
    <x v="1"/>
    <x v="4"/>
    <n v="5"/>
    <x v="14"/>
    <m/>
    <s v="Capacidades de PNLT para gestão de  TB MR  reforçadas"/>
    <m/>
    <m/>
    <n v="0"/>
    <n v="0"/>
    <n v="0"/>
    <m/>
    <m/>
    <m/>
    <m/>
    <m/>
    <m/>
  </r>
  <r>
    <n v="148"/>
    <s v="7.40"/>
    <s v="Realizar um inquérito sobre a aplicação das normas internacionais de controlo da infecção TBMR "/>
    <x v="0"/>
    <x v="4"/>
    <n v="5"/>
    <x v="14"/>
    <m/>
    <s v="Capacidades de PNLT para gestão de  TB MR  reforçadas"/>
    <m/>
    <m/>
    <n v="0"/>
    <n v="0"/>
    <m/>
    <m/>
    <m/>
    <m/>
    <m/>
    <m/>
    <n v="0"/>
  </r>
  <r>
    <n v="149"/>
    <s v="7.41"/>
    <s v="Elaborar e multiplicar os materiais de sensibilização dos membros da comunidade sob controlo da infecção"/>
    <x v="1"/>
    <x v="4"/>
    <n v="5"/>
    <x v="13"/>
    <m/>
    <s v="Capacidades de PNLT para gestão de  TB MR  reforçadas"/>
    <m/>
    <m/>
    <n v="0"/>
    <n v="0"/>
    <n v="0"/>
    <m/>
    <m/>
    <m/>
    <m/>
    <m/>
    <m/>
  </r>
  <r>
    <n v="150"/>
    <s v="7.42"/>
    <s v="Realizar um estudo para a reabilitação/adaptação das infraestruturas de tratamento da TB. Segundo as normas internacionais de controlo da infecção"/>
    <x v="0"/>
    <x v="4"/>
    <n v="5"/>
    <x v="11"/>
    <m/>
    <s v="Capacidades de PNLT para gestão de  TB MR  reforçadas"/>
    <m/>
    <m/>
    <n v="0"/>
    <n v="0"/>
    <m/>
    <m/>
    <m/>
    <m/>
    <m/>
    <m/>
    <n v="0"/>
  </r>
  <r>
    <n v="151"/>
    <s v="7.43"/>
    <s v="Elaborar as normas nacionais para construção de Insfrestruturas de saúde em STP, até final de 2014"/>
    <x v="1"/>
    <x v="4"/>
    <n v="5"/>
    <x v="11"/>
    <m/>
    <s v="Capacidades de PNLT para gestão de  TB MR  reforçadas"/>
    <m/>
    <m/>
    <n v="0"/>
    <n v="0"/>
    <m/>
    <m/>
    <n v="0"/>
    <m/>
    <m/>
    <m/>
    <m/>
  </r>
</pivotCacheRecords>
</file>

<file path=xl/pivotCache/pivotCacheRecords4.xml><?xml version="1.0" encoding="utf-8"?>
<pivotCacheRecords xmlns="http://schemas.openxmlformats.org/spreadsheetml/2006/main" xmlns:r="http://schemas.openxmlformats.org/officeDocument/2006/relationships" count="163">
  <r>
    <n v="1"/>
    <s v="1.1.1"/>
    <s v="Elaborar e imprimir edivulgar plano de advocacia,  "/>
    <x v="0"/>
    <x v="0"/>
    <n v="1"/>
    <x v="0"/>
    <s v="Numero de documentos elaborados e disponíveis"/>
    <s v="As capacidades gestionárias do programa reforçadas"/>
    <s v="PNLT"/>
    <x v="0"/>
    <s v="Elaboração do plano de advocacia (assistência técnica Nacional). A actividade visa identificar, entre outros, eixos, natureza, metodologia, grupos alvo e a viabilização de um cronograma de acções susceptíveis de catalisar sinergias e engajamentos (decisores, financiadores e pessoal da saúde) na luta contra a TB. Esta ividade será realizada em 2015."/>
    <n v="7778.35"/>
    <n v="0"/>
    <n v="0"/>
    <n v="7778.35"/>
    <m/>
    <m/>
    <m/>
    <m/>
    <m/>
    <m/>
  </r>
  <r>
    <n v="2"/>
    <s v="1.1.2"/>
    <s v="Elaborar/Rever e imprimir  plano anual operacional de implementação"/>
    <x v="1"/>
    <x v="0"/>
    <n v="1"/>
    <x v="0"/>
    <s v="Numero de documentos elaborados e disponíveis"/>
    <s v="As capacidades gestionárias do programa reforçadas"/>
    <s v="PNLT"/>
    <x v="0"/>
    <s v="Será criado um grupo de trabalho composto por 10 pessoas (equipa central mais elementos dos distritos) durante 10 dias. Também será necessária uma AT local. Esta actividade será realizada de 2015 a 2017, T4"/>
    <n v="6177.64"/>
    <n v="6177.64"/>
    <n v="6177.64"/>
    <n v="18532.920000000002"/>
    <n v="18532.920000000002"/>
    <m/>
    <m/>
    <m/>
    <m/>
    <m/>
  </r>
  <r>
    <n v="3"/>
    <s v="1.1.3"/>
    <s v="Elaborar  e imprimir  plano de mobilização da recurso"/>
    <x v="2"/>
    <x v="0"/>
    <n v="1"/>
    <x v="0"/>
    <s v="Numero de documentos elaborados e disponíveis"/>
    <s v="As capacidades gestionárias do programa reforçadas"/>
    <s v="PNLT"/>
    <x v="0"/>
    <s v="Elaboração de um plano mobilização de recursos  (grupo de trabalho de 10 pessoas x 5 dias). Atividade a ser realizada em 2015 e 2017"/>
    <n v="3315.83"/>
    <n v="0"/>
    <n v="3315.83"/>
    <n v="6631.66"/>
    <m/>
    <m/>
    <m/>
    <m/>
    <m/>
    <m/>
  </r>
  <r>
    <n v="4"/>
    <s v="1.1.4"/>
    <s v="Elaborar  e imprimir  plano de formação"/>
    <x v="1"/>
    <x v="0"/>
    <n v="1"/>
    <x v="0"/>
    <s v="Numero de documentos elaborados e disponíveis"/>
    <s v="As capacidades gestionárias do programa reforçadas"/>
    <s v="ISVSM"/>
    <x v="0"/>
    <s v="Será criado um grupo de trabalho composto por 5 pessoas (ponto focal do ISVSM e equipa central) durante 3 dias.  Esta actividade será realizada de 2015 a 2017, T4"/>
    <n v="1905.11"/>
    <n v="1905.11"/>
    <n v="1905.11"/>
    <n v="5715.33"/>
    <n v="5715.33"/>
    <m/>
    <m/>
    <m/>
    <m/>
    <m/>
  </r>
  <r>
    <n v="5"/>
    <s v="1.1.5"/>
    <s v="Elaborar  e imprimir  plano TB MR"/>
    <x v="2"/>
    <x v="1"/>
    <n v="5"/>
    <x v="0"/>
    <s v="Numero de documentos elaborados e disponíveis"/>
    <s v="As capacidades gestionárias do programa reforçadas"/>
    <s v="PNLT"/>
    <x v="0"/>
    <s v="Será criado um grupo de trabalho composto por 10 pessoas (equipa central mais elementos dos distritos) durante 3 dias. Também será necessária uma AT local. Esta actividade será realizada de 2015 a 2017, T4"/>
    <n v="2951.1100000000006"/>
    <n v="2951.1100000000006"/>
    <n v="2951.1100000000006"/>
    <n v="8853.3300000000017"/>
    <n v="8853.3300000000017"/>
    <m/>
    <m/>
    <m/>
    <m/>
    <m/>
  </r>
  <r>
    <n v="6"/>
    <s v="1.1.6"/>
    <s v="Elaborar  e imprimir  manual de procedimento administrativo, "/>
    <x v="2"/>
    <x v="0"/>
    <n v="1"/>
    <x v="0"/>
    <s v="Numero de documentos elaborados e disponíveis"/>
    <s v="As capacidades gestionárias do programa reforçadas"/>
    <s v="PNUD"/>
    <x v="0"/>
    <s v="Actividade a ser realizada pelo sector Administrativo do PNLT em estreita colaboração com CNE e MSAS, no âmbito de um Atelier (3 dias). Para o efeito será criado um grupo de trabalho de 10 pessoas); o MSAS já dispõe de um documento suporte de reflexão"/>
    <n v="0"/>
    <n v="0"/>
    <n v="0"/>
    <n v="0"/>
    <m/>
    <m/>
    <m/>
    <m/>
    <m/>
    <m/>
  </r>
  <r>
    <n v="7"/>
    <s v="1.1.7"/>
    <s v="Elaborar  e imprimir  politica sobre a gestão de medicamentos, "/>
    <x v="0"/>
    <x v="0"/>
    <n v="1"/>
    <x v="0"/>
    <s v="Numero de documentos elaborados e disponíveis"/>
    <s v="As capacidades gestionárias do programa reforçadas"/>
    <s v="FNM"/>
    <x v="0"/>
    <s v="Actividade a ser implementada em consonância com o Plano Estratégico MEDICAMENTO; Assistência Técnica Nacional provavelmente necessária; trata-se de elaborar um documento guião com orientações claras sobre o conjunto de procedimento e sobretudo os intervenientes, entidades e responsabilidades da cadeia compra / transporte / armazenamento / conservação / distribuição / venda de medicamentos. Esta atividade está prevista para o ano 2015"/>
    <n v="4963.0599999999995"/>
    <n v="0"/>
    <n v="0"/>
    <n v="4963.0599999999995"/>
    <m/>
    <m/>
    <n v="4963.0599999999995"/>
    <m/>
    <m/>
    <m/>
  </r>
  <r>
    <n v="8"/>
    <s v="1.1.7.1"/>
    <s v="Multiplicar e disseminar 100 exemplares de modulo de formação em manejo de casos de TB"/>
    <x v="1"/>
    <x v="2"/>
    <n v="3"/>
    <x v="0"/>
    <m/>
    <s v="As capacidades gestionárias do programa reforçadas"/>
    <s v="ISVSM"/>
    <x v="0"/>
    <s v="Multiplicar e disseminar 100 exemplares de modulo de formação em manejo de casos de TB"/>
    <n v="582.78000000000009"/>
    <n v="0"/>
    <n v="0"/>
    <n v="582.78000000000009"/>
    <m/>
    <m/>
    <m/>
    <m/>
    <m/>
    <m/>
  </r>
  <r>
    <n v="9"/>
    <s v="1.1.8"/>
    <s v="Revisão  e impressãodo guia de supervisão) "/>
    <x v="1"/>
    <x v="3"/>
    <n v="2"/>
    <x v="0"/>
    <s v="Numero de documentos elaborados e disponíveis"/>
    <s v="As capacidades gestionárias do programa reforçadas"/>
    <s v="PNLT"/>
    <x v="1"/>
    <s v="Atelier de 3 dias de duração e com a participação de 15 pessoas (equipa central mais equipa distrital mais um elemento de BP). Esta actividade será realizada em 2016, T2"/>
    <n v="0"/>
    <n v="2058.5600000000004"/>
    <n v="0"/>
    <n v="2058.5600000000004"/>
    <n v="2058.5600000000004"/>
    <m/>
    <m/>
    <m/>
    <m/>
    <m/>
  </r>
  <r>
    <n v="10"/>
    <s v="1.1.9"/>
    <s v="Descrição de atribuições das vagas a criar (TDR)"/>
    <x v="2"/>
    <x v="0"/>
    <n v="1"/>
    <x v="0"/>
    <s v="Numero de documentos elaborados e disponíveis"/>
    <s v="As capacidades gestionárias do programa reforçadas"/>
    <s v="PNLT"/>
    <x v="0"/>
    <s v="Trata-se de elaboração de TDR para definição das Vagas; actividade a ser desenvolvida em 2 dias por um grupo de 10 pessoas"/>
    <n v="0"/>
    <n v="0"/>
    <n v="0"/>
    <n v="0"/>
    <m/>
    <m/>
    <m/>
    <m/>
    <n v="0"/>
    <m/>
  </r>
  <r>
    <n v="11"/>
    <s v="1.1.10"/>
    <s v="Criar e dotar vagas para o PNLT"/>
    <x v="1"/>
    <x v="0"/>
    <n v="1"/>
    <x v="0"/>
    <m/>
    <s v="As capacidades gestionárias do programa reforçadas"/>
    <s v="PNLT"/>
    <x v="2"/>
    <s v="Criar e dotar vagas para o PNLT"/>
    <m/>
    <m/>
    <m/>
    <n v="0"/>
    <n v="0"/>
    <n v="0"/>
    <n v="0"/>
    <n v="0"/>
    <n v="0"/>
    <m/>
  </r>
  <r>
    <n v="12"/>
    <s v="1.1.11"/>
    <s v="Atribuição da nova grelha salarial à equipa  PNLT"/>
    <x v="1"/>
    <x v="0"/>
    <n v="1"/>
    <x v="0"/>
    <m/>
    <s v="As capacidades gestionárias do programa reforçadas"/>
    <s v="PNLT"/>
    <x v="0"/>
    <s v="Salaries of PNLS staff members (monthly salary for 1 PNLS director=$650,1 Resp. Prev./Despstagem=595 ,1 Resp. Manejo caso=595 , 1 Resp. Apoio psicologico=595, 1 Administrative assistant=382.50 Visita domiciliar=382.50 , 1 Tecnico Laboratório=$382, Apoio social , 1 driver=$212.50); ACTUALIZAR OS POSTOS E OS MONTANTES"/>
    <n v="60330"/>
    <n v="60330"/>
    <n v="60330"/>
    <n v="180990"/>
    <n v="180990"/>
    <m/>
    <m/>
    <m/>
    <m/>
    <m/>
  </r>
  <r>
    <n v="13"/>
    <s v="1.1.12"/>
    <s v="Atelier de 3 dias para a Revisão do Guia de laboratório (10 participantes)"/>
    <x v="1"/>
    <x v="2"/>
    <n v="3"/>
    <x v="0"/>
    <m/>
    <s v="As capacidades gestionárias do programa reforçadas"/>
    <s v="PNLT"/>
    <x v="3"/>
    <s v="O Atelier terá uma duração de 3 dias e contará com a participação de 15 pessoas"/>
    <n v="0"/>
    <n v="0"/>
    <n v="0"/>
    <n v="0"/>
    <m/>
    <n v="0"/>
    <m/>
    <m/>
    <m/>
    <m/>
  </r>
  <r>
    <n v="14"/>
    <s v="1.2.1"/>
    <s v="Formação em Gestão do Programa 3 pessoas"/>
    <x v="1"/>
    <x v="0"/>
    <n v="1"/>
    <x v="0"/>
    <s v="Numero de pessoal formado"/>
    <s v="As capacidades gestionárias do programa reforçadas"/>
    <s v="PNLT"/>
    <x v="0"/>
    <s v="Formação de 3 técnicos de PNLT em Gestão do Programa  no exterior do país durante 3 semanas; 2015, T3"/>
    <n v="11876"/>
    <n v="0"/>
    <n v="0"/>
    <n v="11876"/>
    <n v="11876"/>
    <m/>
    <m/>
    <m/>
    <m/>
    <m/>
  </r>
  <r>
    <n v="15"/>
    <s v="1.2.2"/>
    <s v=" Formação em gestão da TB 15 pessoas"/>
    <x v="1"/>
    <x v="0"/>
    <n v="1"/>
    <x v="0"/>
    <s v="Numero de pessoal formado"/>
    <s v="As capacidades gestionárias do programa reforçadas"/>
    <s v="ISVSM"/>
    <x v="0"/>
    <s v="A formação contempla delegados e pontos focais (incluindo RAP) em gestão da TB e terá uma duração de  10 dias"/>
    <n v="0"/>
    <n v="0"/>
    <n v="0"/>
    <n v="0"/>
    <n v="0"/>
    <m/>
    <m/>
    <m/>
    <m/>
    <m/>
  </r>
  <r>
    <n v="16"/>
    <s v="1.2.3"/>
    <s v="Formação em saúde pública 2 pessoas"/>
    <x v="0"/>
    <x v="0"/>
    <n v="1"/>
    <x v="0"/>
    <s v="Numero de pessoal formado"/>
    <s v="As capacidades gestionárias do programa reforçadas"/>
    <s v="PNLT"/>
    <x v="4"/>
    <s v="A formação será realizada no exterior o país e concluída ao longo do ano 2014; está direccionada para 2 técnicos da Saúde. A ser realizada em 2015"/>
    <n v="60152"/>
    <n v="0"/>
    <n v="0"/>
    <n v="60152"/>
    <m/>
    <m/>
    <m/>
    <m/>
    <m/>
    <m/>
  </r>
  <r>
    <n v="17"/>
    <s v="1.2.4"/>
    <s v="Formação em gestão administrativa 1 pessoa"/>
    <x v="1"/>
    <x v="0"/>
    <n v="1"/>
    <x v="0"/>
    <s v="Numero de pessoal formado"/>
    <s v="As capacidades gestionárias do programa reforçadas"/>
    <s v="PNLT"/>
    <x v="4"/>
    <s v="Formação no exterior o país e direccionada para 1 técnico em gestão administrativa. A ser realizada em 2015 e 2016"/>
    <n v="10376"/>
    <n v="0"/>
    <n v="0"/>
    <n v="10376"/>
    <m/>
    <m/>
    <m/>
    <m/>
    <m/>
    <m/>
  </r>
  <r>
    <n v="18"/>
    <s v="1.2.5"/>
    <s v="Formação em Seguimento e avaliação 2 pessoas"/>
    <x v="1"/>
    <x v="3"/>
    <n v="2"/>
    <x v="1"/>
    <s v="Numero de pessoal formado"/>
    <s v="As capacidades gestionárias do programa reforçadas"/>
    <s v="PNLT"/>
    <x v="1"/>
    <s v="Formação no exterior o país e direccionada aos técnicos em  Seguimento e avaliação: 1 formação/ano a ser realizada em 2015 e 2016"/>
    <n v="38152"/>
    <n v="38152"/>
    <n v="0"/>
    <n v="76304"/>
    <m/>
    <m/>
    <m/>
    <m/>
    <m/>
    <m/>
  </r>
  <r>
    <n v="19"/>
    <s v="1.2.6"/>
    <s v="Formar 2 pessoas (1 farmácia e 1 medico de programa) em gestão e aprovisionamento de medicamentos "/>
    <x v="1"/>
    <x v="2"/>
    <n v="3"/>
    <x v="2"/>
    <s v="Numero de pessoal formado"/>
    <s v="As capacidades gestionárias do programa reforçadas"/>
    <s v="PNLT"/>
    <x v="4"/>
    <s v="Formação no exterior o país e direccionada para 1 médico e 1 técnico de farmácia: dois formandos em 2015, T3"/>
    <n v="20752"/>
    <m/>
    <n v="0"/>
    <n v="20752"/>
    <n v="20752"/>
    <m/>
    <m/>
    <m/>
    <m/>
    <m/>
  </r>
  <r>
    <n v="20"/>
    <s v="1.2.7"/>
    <s v="Formar 12 Técnicos de Farmácia (6 CDT, 1 RAP, 3 HAM e 2 FNM) em gestão de medicamentos (1 sessão de 5 dias no Ano 1) "/>
    <x v="1"/>
    <x v="2"/>
    <n v="3"/>
    <x v="2"/>
    <s v="Numero de pessoal formado"/>
    <s v="As capacidades gestionárias do programa reforçadas"/>
    <s v="ISVSM"/>
    <x v="4"/>
    <s v="Formação interna (1 sessão de 5 dias) prevista para 2015, T4"/>
    <n v="4103.0599999999995"/>
    <n v="0"/>
    <n v="0"/>
    <n v="4103.0599999999995"/>
    <n v="4103.0599999999995"/>
    <m/>
    <m/>
    <m/>
    <m/>
    <m/>
  </r>
  <r>
    <n v="21"/>
    <s v="1.2.8"/>
    <s v="Reciclar 12 Técnicos de Farmácia (6 CDT, 1 RAP, 3 HAM e 2 FNM) em gestão de medicamentos (1 sessão de 5 dias no Ano 3) "/>
    <x v="0"/>
    <x v="0"/>
    <n v="1"/>
    <x v="2"/>
    <s v="Numero de pessoal formado"/>
    <s v="As capacidades gestionárias do programa reforçadas"/>
    <s v="ISVSM"/>
    <x v="4"/>
    <s v="Reciclar 12 Técnicos de Farmácia (6 CDT, 1 RAP, 3 HAM e 2 FNM) em gestão de medicamentos (1 sessão de 5 dias no Ano 3). A reciclagem está prevista para o 2º Trimestre de 2017"/>
    <m/>
    <m/>
    <n v="4103.0599999999995"/>
    <n v="4103.0599999999995"/>
    <m/>
    <m/>
    <m/>
    <m/>
    <m/>
    <m/>
  </r>
  <r>
    <n v="22"/>
    <s v="1.3"/>
    <s v=" Advocacia para criar e dotar vagas para o PNLT (Um Director do programa médicos (2), enfermeira ( 1) seguimento  e avaliação, uma técnica de laboratório(1), um técnico de farmácia (1), secretaria (1),  técnico administrativo (1), motorista(1), assistente pedagógica até 2017"/>
    <x v="1"/>
    <x v="0"/>
    <n v="1"/>
    <x v="0"/>
    <s v="Numero de lugares criados dotados"/>
    <s v="As capacidades gestionárias do programa reforçadas"/>
    <s v="PNLT"/>
    <x v="0"/>
    <m/>
    <n v="0"/>
    <n v="0"/>
    <n v="0"/>
    <n v="0"/>
    <m/>
    <m/>
    <m/>
    <m/>
    <n v="0"/>
    <m/>
  </r>
  <r>
    <n v="23"/>
    <s v="1.4"/>
    <s v="Realizar Semestralmente e trimestralmente encontros de coordenação entre os diferentes parceiros "/>
    <x v="2"/>
    <x v="0"/>
    <n v="1"/>
    <x v="0"/>
    <s v="Numero de relatórios das reuniões disponíveis"/>
    <s v="As capacidades gestionárias do programa reforçadas"/>
    <s v="PNLT"/>
    <x v="0"/>
    <s v="Realizar Semestralmente encontros de coordenação entre os diferentes parceiros. Na prática esta actividade ocorrerá em 2 trimestres/ano, de 2015 à 2017; T1 e T3"/>
    <n v="366.67"/>
    <n v="366.67"/>
    <n v="366.67"/>
    <n v="1100.01"/>
    <n v="1100.01"/>
    <m/>
    <m/>
    <m/>
    <m/>
    <m/>
  </r>
  <r>
    <n v="24"/>
    <s v="1.4.1"/>
    <s v="Realizar trimestralmente encontros de coordenação entre os diferentes níveis"/>
    <x v="1"/>
    <x v="0"/>
    <n v="1"/>
    <x v="0"/>
    <m/>
    <s v="As capacidades gestionárias do programa reforçadas"/>
    <s v="PNLT"/>
    <x v="0"/>
    <s v="Realizar trimestralmente encontros de coordenação entre os diferentes níveis. Actividade contínua à partir do 2015-2017; todos os Trimestres"/>
    <n v="1450"/>
    <n v="1450"/>
    <n v="5426"/>
    <n v="8326"/>
    <n v="8326"/>
    <m/>
    <m/>
    <m/>
    <m/>
    <m/>
  </r>
  <r>
    <n v="25"/>
    <s v="1.5.1"/>
    <s v="Aquisição de materiais equipamento de escritório, e comunicação)"/>
    <x v="1"/>
    <x v="0"/>
    <n v="1"/>
    <x v="3"/>
    <s v="Numero de relatório técnicos e financeiros"/>
    <s v="As capacidades gestionárias do programa reforçadas"/>
    <s v="PNUD"/>
    <x v="0"/>
    <s v="Trata-se de assegurar  material e equipamentos nomeadamente os de comunicação e de escritório para o regular funcionamento do PNLT; 2015-2017 todos s trimestres."/>
    <n v="5904.7700000000013"/>
    <n v="5904.7700000000013"/>
    <n v="5904.7700000000013"/>
    <n v="17714.310000000005"/>
    <m/>
    <m/>
    <m/>
    <m/>
    <m/>
    <m/>
  </r>
  <r>
    <n v="26"/>
    <s v="1.5.2"/>
    <s v="Assegurar o funcionamento do PNLT"/>
    <x v="1"/>
    <x v="0"/>
    <n v="1"/>
    <x v="3"/>
    <m/>
    <s v="As capacidades gestionárias do programa reforçadas"/>
    <s v="PNLT"/>
    <x v="0"/>
    <s v="Actividade contínua à partir do T1 2015; trata-se muito particularmente de aquisição de combustível para funcionamento (administrativo) do PNLT"/>
    <n v="5074.08"/>
    <n v="5074.08"/>
    <n v="5074.08"/>
    <n v="15222.24"/>
    <n v="15222.24"/>
    <m/>
    <m/>
    <m/>
    <m/>
    <m/>
  </r>
  <r>
    <s v="26.1"/>
    <s v="1.5.2.1"/>
    <s v="Assegurar o funcionamento das Unidades Sanitárias no processo de descentralização da  estratégia DOT"/>
    <x v="1"/>
    <x v="0"/>
    <n v="1"/>
    <x v="3"/>
    <m/>
    <m/>
    <s v="PNLT"/>
    <x v="0"/>
    <m/>
    <n v="70573.580274461681"/>
    <n v="78101.305366506771"/>
    <n v="85911.435903157457"/>
    <n v="234586.32154412591"/>
    <m/>
    <m/>
    <m/>
    <m/>
    <n v="234586.32154412591"/>
    <m/>
  </r>
  <r>
    <n v="27"/>
    <s v="1.5.3"/>
    <s v="Assegurar o funcionamento do PNLT (Seguro de Transporte de PNLT)"/>
    <x v="1"/>
    <x v="0"/>
    <n v="1"/>
    <x v="3"/>
    <m/>
    <s v="As capacidades gestionárias do programa reforçadas"/>
    <s v="PNUD"/>
    <x v="0"/>
    <s v="Actividade da responsabilidade do sector administrativo-financeiro do programa. Seguro de transportes contra todos os riscos."/>
    <n v="6306.48"/>
    <n v="6306.48"/>
    <n v="6306.48"/>
    <n v="18919.439999999999"/>
    <n v="18919.439999999999"/>
    <m/>
    <m/>
    <m/>
    <m/>
    <m/>
  </r>
  <r>
    <n v="28"/>
    <s v="1.5.4"/>
    <s v="Assegurar o funcionamento do PNLT (Manutenção de viatura)"/>
    <x v="1"/>
    <x v="0"/>
    <n v="1"/>
    <x v="3"/>
    <m/>
    <s v="As capacidades gestionárias do programa reforçadas"/>
    <s v="PNUD"/>
    <x v="0"/>
    <s v="Actividade de rotina da responsabilidade do sector administrativo-financeiro do programa, manutanção/reparação de viaturas"/>
    <n v="8320"/>
    <n v="8320"/>
    <n v="8320"/>
    <n v="24960"/>
    <n v="24960"/>
    <m/>
    <m/>
    <m/>
    <m/>
    <m/>
  </r>
  <r>
    <n v="29"/>
    <s v="1.6.1"/>
    <s v="Aquisição de 1 viatura"/>
    <x v="1"/>
    <x v="3"/>
    <n v="2"/>
    <x v="3"/>
    <m/>
    <s v="As capacidades gestionárias do programa reforçadas"/>
    <s v="PNUD"/>
    <x v="1"/>
    <s v="A viatura prevista destina-se ao funcionamento do PNLT, com particular destaque para as actividades de Supervisão. 2015; T1"/>
    <n v="32240"/>
    <n v="0"/>
    <n v="0"/>
    <n v="32240"/>
    <n v="32240"/>
    <m/>
    <m/>
    <m/>
    <m/>
    <m/>
  </r>
  <r>
    <n v="30"/>
    <s v="1.6.2"/>
    <s v="Aquisição de 7 KIT informático"/>
    <x v="1"/>
    <x v="0"/>
    <n v="1"/>
    <x v="3"/>
    <m/>
    <s v="As capacidades gestionárias do programa reforçadas"/>
    <s v="PNUD"/>
    <x v="0"/>
    <s v="Aquisição de 7 KIT informático (Computador, impressora, UPS e fotocopiadora): 1 Kit para FNM e os outros 6 para PNLT"/>
    <n v="23611.11"/>
    <n v="0"/>
    <n v="0"/>
    <n v="23611.11"/>
    <n v="23611.11"/>
    <m/>
    <m/>
    <m/>
    <m/>
    <m/>
  </r>
  <r>
    <n v="31"/>
    <s v="1.6.3"/>
    <s v="Contratar uma empresa para assegurar a manutenção dos equipamentos (informático, frigoríficos, ar condicionados, a) contínuo durante 5 anos"/>
    <x v="0"/>
    <x v="0"/>
    <n v="1"/>
    <x v="3"/>
    <m/>
    <s v="As capacidades gestionárias do programa reforçadas"/>
    <s v="PNUD"/>
    <x v="0"/>
    <s v="Contratar uma empresa para assegurar a manutenção dos equipamentos (informático, frigoríficos, ar condicionados, a) contínuo durante 5 anos. AT Nacional necessária. Contrato  desde 1º Trim 2015"/>
    <n v="1284"/>
    <n v="1284"/>
    <n v="1284"/>
    <n v="3852"/>
    <m/>
    <m/>
    <m/>
    <m/>
    <m/>
    <m/>
  </r>
  <r>
    <n v="32"/>
    <s v="1.6.4"/>
    <s v="Aquisição de 2 aparelho de medição da temperatura do ambiente – registo durante 24 horas"/>
    <x v="1"/>
    <x v="2"/>
    <n v="3"/>
    <x v="2"/>
    <m/>
    <s v="As capacidades gestionárias do programa reforçadas"/>
    <s v="PNUD"/>
    <x v="5"/>
    <s v="Adquirir 2 aparelho de medição da temperatura do ambiente – registo durante 24 horas (armazém de medicamentos), prevista para 2015, T1"/>
    <n v="7000"/>
    <n v="0"/>
    <n v="0"/>
    <n v="7000"/>
    <n v="7000"/>
    <m/>
    <m/>
    <m/>
    <m/>
    <m/>
  </r>
  <r>
    <n v="33"/>
    <s v="1.6.4.1"/>
    <s v="Assegurar o funcionamento do aparelho de medição da temperatura do ambiente – rolo de registo de oscilação "/>
    <x v="1"/>
    <x v="2"/>
    <n v="3"/>
    <x v="2"/>
    <m/>
    <s v="As capacidades gestionárias do programa reforçadas"/>
    <s v="PNUD"/>
    <x v="0"/>
    <s v="Assegurar o funcionamento do aparelho de medição da temperatura do ambiente; aquisição de rolo de registo de oscilação "/>
    <n v="5100"/>
    <m/>
    <n v="5100"/>
    <n v="10200"/>
    <n v="10200"/>
    <m/>
    <m/>
    <m/>
    <m/>
    <m/>
  </r>
  <r>
    <n v="34"/>
    <s v="1.6.4.2"/>
    <s v="Contratar uma empresa para assegurar a manutenção dos equipamentos (aparelho de medição de temperatura) contínuo durante 5 anos"/>
    <x v="1"/>
    <x v="2"/>
    <n v="3"/>
    <x v="2"/>
    <m/>
    <s v="As capacidades gestionárias do programa reforçadas"/>
    <s v="PNUD"/>
    <x v="0"/>
    <s v="Contratar uma empresa para assegurar a manutenção dos equipamentos (aparelho de medição de temperatura) contínuo durante 5 anos"/>
    <n v="700"/>
    <n v="700"/>
    <n v="700"/>
    <n v="2100"/>
    <n v="2100"/>
    <m/>
    <m/>
    <m/>
    <m/>
    <m/>
  </r>
  <r>
    <n v="35"/>
    <s v="1.6.5"/>
    <s v="Aquisição de 10 motorizada para distritos) até 2018"/>
    <x v="0"/>
    <x v="0"/>
    <n v="1"/>
    <x v="3"/>
    <m/>
    <s v="As capacidades gestionárias do programa reforçadas"/>
    <s v="PNUD"/>
    <x v="4"/>
    <s v=" Aquisição de motorizadas para os distritos no apoio ao DOT ao nível comunitário"/>
    <n v="0"/>
    <n v="0"/>
    <n v="0"/>
    <n v="0"/>
    <n v="0"/>
    <m/>
    <m/>
    <m/>
    <m/>
    <m/>
  </r>
  <r>
    <n v="36"/>
    <s v="1.7"/>
    <s v="Assistência Tecnica internacional para Criar um sistema de incentivos (individuais e colectivos, financeiros e não financeiros) baseados no desempenho"/>
    <x v="2"/>
    <x v="0"/>
    <n v="1"/>
    <x v="0"/>
    <m/>
    <s v="As capacidades gestionárias do programa reforçadas"/>
    <s v="PNLT"/>
    <x v="0"/>
    <s v="Criar um sistema de incentivos (individuais e colectivos, financeiros e não financeiros) baseados no desempenho"/>
    <n v="16825"/>
    <n v="0"/>
    <n v="0"/>
    <n v="16825"/>
    <m/>
    <m/>
    <m/>
    <m/>
    <m/>
    <m/>
  </r>
  <r>
    <n v="37"/>
    <s v="1.8"/>
    <s v="Realizar  Supervisão de gestão de medicamentos (RAP semestralmente)"/>
    <x v="1"/>
    <x v="3"/>
    <n v="2"/>
    <x v="0"/>
    <s v="Numero de supervisões realizadas"/>
    <s v="As capacidades gestionárias do programa reforçadas"/>
    <s v="FNM"/>
    <x v="1"/>
    <s v="Destinada-se, entre outros,  a se assegurar do regular funcionamento da cadeia  compra / transporte / armazenamento / conservação / distribuição / venda de medicamentos; custo anual = USD 2.314"/>
    <n v="2313.6899999999996"/>
    <n v="2313.6899999999996"/>
    <n v="2313.6899999999996"/>
    <n v="6941.0699999999988"/>
    <n v="6941.0699999999988"/>
    <m/>
    <m/>
    <m/>
    <m/>
    <m/>
  </r>
  <r>
    <n v="38"/>
    <s v="1.9"/>
    <s v="Aquisição de Combustível para transporte (distribuição de medicamentos) e gerador (50 Lt por mês para Gerador) durante 5 anos"/>
    <x v="1"/>
    <x v="2"/>
    <n v="3"/>
    <x v="3"/>
    <m/>
    <s v="As capacidades gestionárias do programa reforçadas"/>
    <s v="FNM"/>
    <x v="0"/>
    <s v="Trata-se de aquisição de Combustível para transporte (distribuição de medicamentos) e gerador (50 Lt por mês para Gerador) durante 5 anos"/>
    <n v="1713.6"/>
    <n v="1713.6"/>
    <n v="1713.6"/>
    <n v="5140.7999999999993"/>
    <n v="5140.7999999999993"/>
    <m/>
    <m/>
    <m/>
    <m/>
    <m/>
  </r>
  <r>
    <n v="39"/>
    <s v="1.10"/>
    <s v="Assegurar envio de medicamentos e outros consumíveis para RAP"/>
    <x v="1"/>
    <x v="2"/>
    <n v="3"/>
    <x v="3"/>
    <m/>
    <s v="As capacidades gestionárias do programa reforçadas"/>
    <s v="PNLT"/>
    <x v="0"/>
    <s v="Envio de medicamentos e outros consumíveis para Região Autonoma dp Príncipe"/>
    <n v="400"/>
    <n v="400"/>
    <n v="400"/>
    <n v="1200"/>
    <m/>
    <m/>
    <m/>
    <m/>
    <n v="1200"/>
    <m/>
  </r>
  <r>
    <n v="40"/>
    <s v="1.11"/>
    <s v="Adquirir/adaptar base de dado para gestão de stok dos medicamentos (FNM)"/>
    <x v="1"/>
    <x v="0"/>
    <n v="1"/>
    <x v="3"/>
    <m/>
    <s v="As capacidades gestionárias do programa reforçadas"/>
    <s v="FNM"/>
    <x v="4"/>
    <s v="O software a ser adquirido deverá ser parametrizado e adaptado as exigências do país em matéria de gestão de medicamentos; 2015, T2"/>
    <n v="16084"/>
    <n v="0"/>
    <n v="0"/>
    <n v="16084"/>
    <n v="16084"/>
    <m/>
    <m/>
    <m/>
    <m/>
    <m/>
  </r>
  <r>
    <n v="41"/>
    <s v="1.12"/>
    <s v="Formação em utilização do softwer para gestão de stok dos medicamentos (FNM)"/>
    <x v="1"/>
    <x v="0"/>
    <n v="1"/>
    <x v="3"/>
    <m/>
    <s v="As capacidades gestionárias do programa reforçadas"/>
    <s v="ISVSM"/>
    <x v="4"/>
    <s v="Trata-se muito particularmente de formação  de formadores que,  nos anos seguintes, assegurarão as formações práticas sobre a utilização do software para gestão do stock dos medicamentos"/>
    <n v="5748.5"/>
    <n v="0"/>
    <n v="5748.5"/>
    <n v="11497"/>
    <n v="11497"/>
    <m/>
    <m/>
    <m/>
    <m/>
    <m/>
  </r>
  <r>
    <n v="42"/>
    <s v="1.13"/>
    <s v="Formar 15 técnicos na instalação de uma base de dados (SPSS) da TB, 1 sessão de 5 dias."/>
    <x v="2"/>
    <x v="0"/>
    <n v="1"/>
    <x v="0"/>
    <m/>
    <s v="As capacidades gestionárias do programa reforçadas"/>
    <s v="ISVSM"/>
    <x v="1"/>
    <s v="Uma sessão única de formação, a ser desenvolvida em 5 dias e destinada à 15 técnicos envolvidos no registo/tratamento/análise de dados da TB, consolidados numa base de dados SPSS"/>
    <n v="4411.3900000000003"/>
    <n v="0"/>
    <n v="0"/>
    <n v="4411.3900000000003"/>
    <m/>
    <m/>
    <m/>
    <m/>
    <m/>
    <m/>
  </r>
  <r>
    <n v="43"/>
    <s v="2.1"/>
    <s v="Recrutar e afectar 1 técnico de Seguimento e Avaliação do PNLT"/>
    <x v="1"/>
    <x v="3"/>
    <n v="2"/>
    <x v="1"/>
    <s v="Técnico recrutado"/>
    <s v="Sistema de seguimento e avaliação do Programa fortalecido"/>
    <s v="PNLT"/>
    <x v="1"/>
    <s v="Recrutar  e afetar1 técnico de Seguimento e Avaliação do PNLT"/>
    <m/>
    <m/>
    <m/>
    <n v="0"/>
    <n v="0"/>
    <m/>
    <m/>
    <m/>
    <m/>
    <m/>
  </r>
  <r>
    <n v="44"/>
    <s v="2.2"/>
    <s v="Organizar atelier de 5 dias para actualizar e validação o plano de seguimento e avaliação e instrumento de colheita dos dados"/>
    <x v="1"/>
    <x v="3"/>
    <n v="2"/>
    <x v="1"/>
    <s v="Plano S&amp;A actualizado e disponivel"/>
    <s v="Sistema de seguimento e avaliação do Programa fortalecido"/>
    <s v="PNLT"/>
    <x v="1"/>
    <s v="Actividade da responsabilidade da Unidade de Seguimento e Avaliação e destinada a actualização dos instrumentos de recolha de dados bem como a operacionalização do Plano S&amp;A."/>
    <n v="0"/>
    <n v="0"/>
    <n v="0"/>
    <n v="0"/>
    <n v="0"/>
    <m/>
    <m/>
    <m/>
    <m/>
    <m/>
  </r>
  <r>
    <n v="45"/>
    <s v="2.2.1"/>
    <s v="Organizar um atelier de 5 jours para avaliação do cumprimento do plano de seguimento e avaliação"/>
    <x v="1"/>
    <x v="3"/>
    <n v="2"/>
    <x v="1"/>
    <m/>
    <s v="Sistema de seguimento e avaliação do Programa fortalecido"/>
    <s v="PNLT"/>
    <x v="1"/>
    <s v="O atelier visa promover um debate/reflexão sobre o cumprimento do programado no Plano S&amp;A e pela mesma ocasião propor alternativas aos eventuais desajustamentos evidenciados."/>
    <m/>
    <n v="3356.39"/>
    <n v="0"/>
    <n v="3356.39"/>
    <n v="3356.39"/>
    <m/>
    <m/>
    <m/>
    <m/>
    <m/>
  </r>
  <r>
    <n v="46"/>
    <s v="2.3"/>
    <s v="Implementar o plano de seguimento e avaliação"/>
    <x v="1"/>
    <x v="3"/>
    <n v="2"/>
    <x v="1"/>
    <m/>
    <s v="Sistema de seguimento e avaliação do Programa fortalecido"/>
    <s v="PNLT"/>
    <x v="1"/>
    <m/>
    <n v="0"/>
    <n v="0"/>
    <n v="0"/>
    <n v="0"/>
    <n v="0"/>
    <n v="0"/>
    <n v="0"/>
    <n v="0"/>
    <n v="0"/>
    <m/>
  </r>
  <r>
    <n v="47"/>
    <s v="2.4"/>
    <s v="Implementar o sistema de registo electrónico de dados TB "/>
    <x v="0"/>
    <x v="3"/>
    <n v="2"/>
    <x v="1"/>
    <s v="Sistema de registro electrónico funcional"/>
    <s v="Sistema de seguimento e avaliação do Programa fortalecido"/>
    <s v="PNLT"/>
    <x v="1"/>
    <s v="Implementar o sistema de registo electrónico de dados TB. Actividade a ser implementada com  apoio da OMS, parceiro junto ao qual já foram encetados contactos para o efeitos"/>
    <n v="0"/>
    <n v="0"/>
    <n v="0"/>
    <n v="0"/>
    <m/>
    <m/>
    <n v="0"/>
    <m/>
    <m/>
    <m/>
  </r>
  <r>
    <n v="48"/>
    <s v="2.5"/>
    <s v="Produção e difusão de relatórios trimestrais "/>
    <x v="2"/>
    <x v="3"/>
    <n v="2"/>
    <x v="1"/>
    <s v="relatorios produzidos e difundidos"/>
    <s v="Sistema de seguimento e avaliação do Programa fortalecido"/>
    <s v="PNLT"/>
    <x v="1"/>
    <s v=" Produção e difusão de relatórios trimestrais"/>
    <n v="1593.33"/>
    <n v="1593.33"/>
    <n v="1593.33"/>
    <n v="4779.99"/>
    <n v="4779.99"/>
    <m/>
    <m/>
    <m/>
    <m/>
    <m/>
  </r>
  <r>
    <n v="49"/>
    <s v="2.6"/>
    <s v="Organizar a avaliação (interna e externa) do plano estratégico  "/>
    <x v="1"/>
    <x v="3"/>
    <n v="2"/>
    <x v="1"/>
    <s v="Relatorio da avaliação disponível)"/>
    <s v="Sistema de seguimento e avaliação do Programa fortalecido"/>
    <s v="PNLT"/>
    <x v="1"/>
    <s v=" Organizar a avaliação externa do plano estratégico. AT  Internacional necessária; Actividade com forte pendor de uma Avaliação do Meio-Percurso, a ser realizada no 1º trimestre de 2016. Haverá um atelier de apresentação desta avaliação"/>
    <m/>
    <n v="20261.940000000002"/>
    <n v="0"/>
    <n v="20261.940000000002"/>
    <n v="20261.940000000002"/>
    <m/>
    <m/>
    <m/>
    <m/>
    <m/>
  </r>
  <r>
    <n v="50"/>
    <s v="2.7"/>
    <s v="Atelie de 5 dias com 10 técnicos estatísticos para preenchimento das fichas e livro de registo"/>
    <x v="2"/>
    <x v="3"/>
    <n v="2"/>
    <x v="1"/>
    <s v="Relatorio do atiliê"/>
    <s v="Sistema de seguimento e avaliação do Programa fortalecido"/>
    <s v="PNLT"/>
    <x v="1"/>
    <s v="Atelie de 5 dias com 10 técnicos estatísticos por ano para preenchimento das fichas e livro de registo. É de capital importância que o domínio do preenchimento das fichas seja dado adquirido o mais tarde em 2014, para que o processo recolha/registo - tratamento/analise -produção/difusão dos dados da TB alcance o sucesso desejado."/>
    <n v="3141.11"/>
    <m/>
    <n v="3141.11"/>
    <n v="6282.22"/>
    <n v="6282.22"/>
    <m/>
    <m/>
    <m/>
    <m/>
    <m/>
  </r>
  <r>
    <n v="51"/>
    <s v="2.8"/>
    <s v="Organizar encontro para restituição dos dados"/>
    <x v="2"/>
    <x v="3"/>
    <n v="2"/>
    <x v="1"/>
    <s v="Dados restituidos"/>
    <s v="Sistema de seguimento e avaliação do Programa fortalecido"/>
    <s v="PNLT"/>
    <x v="1"/>
    <s v="Trata-se de encontros anuais (T1 de cada ano) realizados sobretudo com os intervenientes directos na execução do PNLT e destinado a apresentação/divulgação dos resultados obtidos no âmbito das acções e intervenções do Programa; custo anual = USD 375"/>
    <n v="374.67"/>
    <n v="374.67"/>
    <n v="374.67"/>
    <n v="1124.01"/>
    <n v="1124.01"/>
    <m/>
    <m/>
    <m/>
    <m/>
    <m/>
  </r>
  <r>
    <n v="52"/>
    <s v="3.1"/>
    <s v="Elaborar e reproduzir Kit de Comunicação com mensagens chaves de TB (folhetos, cartazes, bandeirolas, painel gigante e álbum seriado)(colocar antes das palestras)"/>
    <x v="1"/>
    <x v="2"/>
    <n v="3"/>
    <x v="4"/>
    <s v="Número de KIT elaborados e disponíveis"/>
    <s v="Conhecimento da população sobre a TB melhorado"/>
    <s v="CNES"/>
    <x v="6"/>
    <s v="Elaborar Kit de Comunicação com mensagens chaves de TB. Prevê-se a elaboração nomeadamente de folhetos, cartazes, bandeirolas, painel gigante, álbum seriado, camisolas, bonés, dísticos e vídeos, considerados de mensagens chaves na Comunicação/Sensibilização a TB"/>
    <n v="3722.2200000000003"/>
    <n v="3722.2200000000003"/>
    <n v="3722.2200000000003"/>
    <n v="11166.66"/>
    <n v="11166.66"/>
    <m/>
    <m/>
    <m/>
    <m/>
    <m/>
  </r>
  <r>
    <n v="53"/>
    <s v="3.2"/>
    <s v="Elaborar/adaptar e difundir Spot televisivo e radiofónico"/>
    <x v="1"/>
    <x v="2"/>
    <n v="3"/>
    <x v="4"/>
    <s v="Numero de SPOT elaborados e difundidos"/>
    <s v="Conhecimento da população sobre a TB melhorado"/>
    <s v="CNES"/>
    <x v="6"/>
    <s v="Elaborar/adaptar e difundir Spot televisivo, radiofónico e Jornal. Actividade contínua destinada a Comunicação/Sensibilização a TB, a ser realizada semestralmente; 2015-2017, 2º e 3º Trimestre de cada ano."/>
    <n v="3722.2200000000003"/>
    <n v="3722.2200000000003"/>
    <n v="3722.2200000000003"/>
    <n v="11166.66"/>
    <n v="11166.66"/>
    <m/>
    <m/>
    <m/>
    <m/>
    <m/>
  </r>
  <r>
    <n v="54"/>
    <s v="3.3"/>
    <s v="Realizar um Inquérito CAP"/>
    <x v="0"/>
    <x v="3"/>
    <n v="2"/>
    <x v="5"/>
    <s v="Relatorio de CAP disponível"/>
    <s v="Conhecimento da população sobre a TB melhorado"/>
    <s v="PNLT"/>
    <x v="1"/>
    <s v="AT Nacional ou Internacional, necessária; actividade abrangente visando nomeadamente avaliar os conhecimentos, atitudes e práticas das populações em matéria de manifestação, prevenção e tratamento não só da TB, TB/MR como também da sua associação à outras patologias (HIV, por exemplo)"/>
    <m/>
    <n v="22000"/>
    <n v="0"/>
    <n v="22000"/>
    <n v="22000"/>
    <m/>
    <m/>
    <m/>
    <m/>
    <m/>
  </r>
  <r>
    <s v="54.1"/>
    <s v="3.3.1"/>
    <s v="Realizar um Estudo sobre a mortalidade por TB"/>
    <x v="1"/>
    <x v="3"/>
    <n v="2"/>
    <x v="5"/>
    <m/>
    <m/>
    <s v="PNLT"/>
    <x v="1"/>
    <s v="AT Nacional ou Internacional, necessária; actividade abrangente visando nomeadamente avaliar os conhecimentos, atitudes e práticas das populações em matéria de manifestação, prevenção e tratamento não só da TB, TB/MR como também da sua associação à outras patologias (HIV, por exemplo)"/>
    <n v="11000"/>
    <m/>
    <m/>
    <n v="11000"/>
    <n v="11000"/>
    <m/>
    <m/>
    <m/>
    <m/>
    <m/>
  </r>
  <r>
    <n v="54.2"/>
    <s v="3.3.2"/>
    <s v="Realizar um Estudo sobre a Co-infecção TB/VIH"/>
    <x v="1"/>
    <x v="3"/>
    <n v="2"/>
    <x v="5"/>
    <m/>
    <m/>
    <s v="PNLT"/>
    <x v="1"/>
    <s v="AT Nacional ou Internacional, necessária; actividade abrangente visando nomeadamente avaliar os conhecimentos, atitudes e práticas das populações em matéria de manifestação, prevenção e tratamento não só da TB, TB/MR como também da sua associação à outras patologias (HIV, por exemplo)"/>
    <m/>
    <n v="11000"/>
    <m/>
    <n v="11000"/>
    <n v="11000"/>
    <m/>
    <m/>
    <m/>
    <m/>
    <m/>
  </r>
  <r>
    <n v="55"/>
    <s v="3.4"/>
    <s v="Organizar sessões de advocacia junto aos decisores políticos e parceiros."/>
    <x v="0"/>
    <x v="0"/>
    <n v="1"/>
    <x v="0"/>
    <s v=" Numero Decisores e parceiros colaborando nas actividades de luta contra a tuberculose"/>
    <s v="Conhecimento da população sobre a TB melhorado"/>
    <s v="PNLT"/>
    <x v="0"/>
    <s v=" Sessões de advocacia junto aos decisores políticos e parceiros. A actividade visa  catalisar sinergias e engajamentos dos decisores políticos e parceiros na luta contra a TB, de um modo geral"/>
    <n v="92.829999999999984"/>
    <n v="92.829999999999984"/>
    <n v="92.829999999999984"/>
    <n v="278.48999999999995"/>
    <m/>
    <m/>
    <m/>
    <m/>
    <n v="278.48999999999995"/>
    <m/>
  </r>
  <r>
    <n v="56"/>
    <s v="3.5"/>
    <s v="Formar (100) ASC e activistas (em gestão das actividades comunitária/sensibilização sobre TB)."/>
    <x v="1"/>
    <x v="2"/>
    <n v="3"/>
    <x v="6"/>
    <s v="Numero de pessoal formados"/>
    <s v="Conhecimento da população sobre a TB melhorado"/>
    <s v="Zatona Adil"/>
    <x v="6"/>
    <s v="Formar 105 ASC em gestão comunitária/sensibilização sobre TB  (TB/HIV; TB/MR)- (5 Dias, em 4 sessões de 26 participantes cada, sendo 1 sessão de 26 na RAP, ano 1). Prevê-se a formação de 100 ASC e activistas em gestão comunitária/sensibilização sobre TB, TB/HIV, TB/MR.; haverá para o efeito  4 sessões de  formação, sendo cada uma de uma duração de 5 dias com  26 participantes; uma das sessões será realizada  na RAP"/>
    <n v="0"/>
    <n v="0"/>
    <n v="0"/>
    <n v="0"/>
    <n v="0"/>
    <m/>
    <m/>
    <m/>
    <m/>
    <m/>
  </r>
  <r>
    <n v="57"/>
    <s v="3.5.1"/>
    <s v="Reciclar (100) ASC e activistas (em gestão das actividades comunitária/sensibilização sobre TB)."/>
    <x v="0"/>
    <x v="2"/>
    <n v="3"/>
    <x v="6"/>
    <m/>
    <s v="Conhecimento da população sobre a TB melhorado"/>
    <s v="Zatona Adil"/>
    <x v="6"/>
    <s v="Reciclar 105 ASC em gestão comunitária/sensibilização sobre TB  (TB/HIV; TB/MR)- (5 Dias, em 4 sessões de 26 participantes cada, sendo 1 sessão de 26 na RAP, ano 2015)"/>
    <n v="19562.87"/>
    <n v="0"/>
    <n v="0"/>
    <n v="19562.87"/>
    <m/>
    <m/>
    <m/>
    <m/>
    <m/>
    <m/>
  </r>
  <r>
    <n v="58"/>
    <s v="3.6"/>
    <s v="Realizar palestras de sensibilização ( na escola, igrejas, prisão, quartel militar, Jornalistas e nas comunidades)"/>
    <x v="1"/>
    <x v="2"/>
    <n v="3"/>
    <x v="4"/>
    <s v="Numero de palestras realizadas"/>
    <s v="Conhecimento da população sobre a TB melhorado"/>
    <s v="Zatona Adil"/>
    <x v="6"/>
    <s v="Realizar palestras de sensibilização nas escolas (duas para cada distrito por ano). Prevê-se a realização anual de 2 palestras em cada distrito e para cada caso. Actividade contínua à partir do T2 2015;"/>
    <n v="18499.990000000002"/>
    <n v="18499.990000000002"/>
    <n v="18499.990000000002"/>
    <n v="55499.97"/>
    <n v="55499.97"/>
    <m/>
    <m/>
    <m/>
    <m/>
    <m/>
  </r>
  <r>
    <n v="59"/>
    <s v="3.7"/>
    <s v="Organização do dia Mundial de Luta contra TB"/>
    <x v="0"/>
    <x v="2"/>
    <n v="3"/>
    <x v="4"/>
    <s v="Relatório disponível"/>
    <s v="Conhecimento da população sobre a TB melhorado"/>
    <s v="PNLT"/>
    <x v="6"/>
    <s v="Actividade anual a ocorrer no 1º trimestre; de cada ano"/>
    <n v="11333.33"/>
    <n v="11333.33"/>
    <n v="11333.33"/>
    <n v="33999.99"/>
    <n v="33999.99"/>
    <m/>
    <m/>
    <m/>
    <m/>
    <m/>
  </r>
  <r>
    <n v="60"/>
    <s v="3.8"/>
    <s v="Formar 30 Jornalistas (rádio, televisão, jornal), 3 dias, Ano 1 "/>
    <x v="0"/>
    <x v="2"/>
    <n v="3"/>
    <x v="4"/>
    <m/>
    <s v="Conhecimento da população sobre a TB melhorado"/>
    <s v="ISVSM"/>
    <x v="6"/>
    <s v="Esta actividade visa um maior envolvimento de entidades e individualidades dos órgãos de comunicação social na luta contra a TB; a formação prevista será realizada no 2º trimestre de 2014 durante 3 dias "/>
    <n v="0"/>
    <n v="0"/>
    <n v="0"/>
    <n v="0"/>
    <n v="0"/>
    <m/>
    <m/>
    <m/>
    <m/>
    <m/>
  </r>
  <r>
    <n v="61"/>
    <s v="3.9"/>
    <s v="Reciclar 30 Jornalistas (rádio, televisão, jornal), 3 dias, Ano 2"/>
    <x v="0"/>
    <x v="2"/>
    <n v="3"/>
    <x v="4"/>
    <m/>
    <s v="Conhecimento da população sobre a TB melhorado"/>
    <s v="ISVSM"/>
    <x v="6"/>
    <s v="Os Formados na actividade anterior (3.8)  serão reciclados dois anos mais tarde"/>
    <m/>
    <n v="5187.92"/>
    <n v="0"/>
    <n v="5187.92"/>
    <m/>
    <m/>
    <m/>
    <m/>
    <m/>
    <m/>
  </r>
  <r>
    <n v="62"/>
    <s v="4.1"/>
    <s v="Rehabilitar/adaptação de 6 laboratórios  "/>
    <x v="2"/>
    <x v="2"/>
    <n v="3"/>
    <x v="7"/>
    <s v="Numero de laboratórios reabilitados/adapatados"/>
    <s v="Casos de tuberculose diagnosticados"/>
    <s v="PNUD"/>
    <x v="4"/>
    <s v="Não obstante o seu carácter prioritário esta actividade, que tem enquadramento no OGE, será realizada/concluída em T2 - 2015"/>
    <n v="4500"/>
    <n v="0"/>
    <n v="0"/>
    <n v="4500"/>
    <n v="4500"/>
    <m/>
    <m/>
    <m/>
    <m/>
    <m/>
  </r>
  <r>
    <n v="63"/>
    <s v="4.2"/>
    <s v="Equipar os laboratórios( microscópios, bico de busen...)"/>
    <x v="1"/>
    <x v="2"/>
    <n v="3"/>
    <x v="7"/>
    <s v="Numero de laboratorios equipados"/>
    <s v="Casos de tuberculose diagnosticados"/>
    <s v="PNUD"/>
    <x v="4"/>
    <s v="Actividade com arranque previsto para  T1 ano 2016 e T2 ano 2017. A  sua implementação está, em parte, condicionada à conclusão do laboratório (código 7. 5)"/>
    <n v="13953"/>
    <n v="0"/>
    <n v="13953"/>
    <n v="27906"/>
    <n v="27906"/>
    <m/>
    <m/>
    <m/>
    <m/>
    <m/>
  </r>
  <r>
    <n v="64"/>
    <s v="4.3"/>
    <s v="Aprovisionar as estruturas em consumíveis de laboratório (laminas, luvas, embaços, reagentes, mala térmica, palitos…) "/>
    <x v="1"/>
    <x v="2"/>
    <n v="3"/>
    <x v="7"/>
    <s v="Numero de dias de rutura de Stoks"/>
    <s v="Casos de tuberculose diagnosticados"/>
    <s v="PNUD"/>
    <x v="5"/>
    <s v="Aquisição de reagentes e consumíveis de laboratório para os 7 CDT e HAM durante 5 anos "/>
    <n v="18372"/>
    <n v="18372"/>
    <n v="18372"/>
    <n v="55116"/>
    <n v="55116"/>
    <m/>
    <m/>
    <m/>
    <m/>
    <m/>
  </r>
  <r>
    <n v="65"/>
    <s v="4.4.1"/>
    <s v="Assegurar o controlo de qualidade externo supranacional"/>
    <x v="1"/>
    <x v="2"/>
    <n v="3"/>
    <x v="7"/>
    <s v="Numero de laboaratorio que interveem no controlo de qualidade"/>
    <s v="Casos de tuberculose diagnosticados"/>
    <s v="PNUD"/>
    <x v="3"/>
    <s v="Destina-se a assegurar o controlo de qualidade externo supranacional; actividade anual previstos para os anos 2015 e 2016; tudo "/>
    <n v="5701.36"/>
    <n v="5701.36"/>
    <n v="5701.36"/>
    <n v="17104.079999999998"/>
    <n v="17104.079999999998"/>
    <m/>
    <m/>
    <m/>
    <m/>
    <m/>
  </r>
  <r>
    <n v="66"/>
    <s v="4.4.1.1"/>
    <s v="Assistencia Técnica parao o controlo de qualidade externo supranacional"/>
    <x v="1"/>
    <x v="2"/>
    <n v="3"/>
    <x v="7"/>
    <m/>
    <s v="Casos de tuberculose diagnosticados"/>
    <s v="PNUD"/>
    <x v="3"/>
    <s v="Há necessidade de uma ATI; actividade prevista para os anos 2015, 2016 e 207"/>
    <n v="7701.97"/>
    <n v="7701.97"/>
    <n v="7701.97"/>
    <n v="23105.91"/>
    <n v="23105.91"/>
    <m/>
    <m/>
    <m/>
    <m/>
    <m/>
  </r>
  <r>
    <n v="67"/>
    <s v="4.4.2"/>
    <s v="Realizar controlo de qualidade das lâminas no laboratório nacional de referência, trimestralmente durante 5 anos"/>
    <x v="1"/>
    <x v="2"/>
    <n v="3"/>
    <x v="7"/>
    <s v="Numero de laboaratorio que interveem no controlo de qualidade "/>
    <s v="Casos de tuberculose diagnosticados"/>
    <s v="PNLT"/>
    <x v="3"/>
    <s v="Realizar controlo de qualidade das lâminas no laboratório nacional de referência, trimestralmente durante 5 anos."/>
    <n v="7592.33"/>
    <n v="7592.33"/>
    <n v="7592.33"/>
    <n v="22776.989999999998"/>
    <n v="22776.989999999998"/>
    <m/>
    <m/>
    <m/>
    <m/>
    <m/>
  </r>
  <r>
    <n v="68"/>
    <s v="4.7.1"/>
    <s v="Formar 25 Técnicos de Laboratórios (14 CDT, Incluindo 2 RAP, 6 HAM e 3 LNR) realização de Baciloscopia e controlo de qualidade (CQ) (1 sessão de 5 dias no Ano 1)"/>
    <x v="0"/>
    <x v="2"/>
    <n v="3"/>
    <x v="7"/>
    <s v="Nº de técnicos de laboratório formados"/>
    <s v="Casos de tuberculose diagnosticados"/>
    <s v="ISVSM"/>
    <x v="3"/>
    <s v="Formar 25 Técnicos de Laboratórios (14 CDT, Incluindo 2 RAP, 6 HAM e 3 LNR) realização de Baciloscopia e controlo de qualidade (CQ) (1 sessão de 5 dias no Ano 2015). Os 25 Técnicos de Laboratórios discriminados beneficiarão de uma sessão de formação de 5 dias de duração."/>
    <n v="7622.22"/>
    <n v="0"/>
    <n v="0"/>
    <n v="7622.22"/>
    <m/>
    <m/>
    <m/>
    <m/>
    <m/>
    <m/>
  </r>
  <r>
    <n v="69"/>
    <s v="4.7.2"/>
    <s v="Reciclar 25 Técnicos de Laboratórios (14 CDT, Incluindo 2 RAP, 6 HAM E 3 LNR) realização de Baciloscopia e controlo de qualidade (CQ) (1 sessão de 5 dias no Ano 3)"/>
    <x v="0"/>
    <x v="2"/>
    <n v="3"/>
    <x v="7"/>
    <s v="Nº de técnicos de laboratório formados"/>
    <s v="Casos de tuberculose diagnosticados"/>
    <s v="ISVSM"/>
    <x v="3"/>
    <s v="Os formados do 4.7.1, serão reciclados dois anos mais tarde"/>
    <n v="7622.22"/>
    <n v="7622.22"/>
    <n v="0"/>
    <n v="15244.44"/>
    <m/>
    <m/>
    <m/>
    <m/>
    <m/>
    <m/>
  </r>
  <r>
    <n v="70"/>
    <s v="4.8"/>
    <s v="Implementar o APSR (directrizes nacionais de APSR, guia de gestão de casos: de contactos e SR)"/>
    <x v="1"/>
    <x v="2"/>
    <n v="3"/>
    <x v="7"/>
    <s v="Diretrizes de APSR disponível"/>
    <s v="Casos de tuberculose diagnosticados"/>
    <s v="PNLT"/>
    <x v="7"/>
    <s v="PAL; Necessidade de uma AT Internacional. Trata-se de organizar dois ateliers de 7 dias (no T4 de 2013 e no T4 de 2014) para elaboração (e revisão) de directrizes nacionais de (APSR) Sintomáticos Respiratórios e elaborar (e rever) o guia de gestão de casos dos sintomas respiratórios (para médicos e enfermeiros)"/>
    <n v="0"/>
    <n v="0"/>
    <n v="0"/>
    <n v="0"/>
    <n v="0"/>
    <m/>
    <m/>
    <m/>
    <m/>
    <m/>
  </r>
  <r>
    <n v="71"/>
    <s v="4.8.1"/>
    <s v="Financiamento das RX dos suspeitos e 325 pacientes TB "/>
    <x v="0"/>
    <x v="2"/>
    <n v="3"/>
    <x v="7"/>
    <s v="Diretrizes de APSR disponível"/>
    <s v="Casos de tuberculose diagnosticados"/>
    <s v="PNLT"/>
    <x v="7"/>
    <s v="Aprovisionar películas (    ) de RX."/>
    <n v="2708.33"/>
    <n v="2708.33"/>
    <n v="2708.33"/>
    <n v="8124.99"/>
    <m/>
    <m/>
    <m/>
    <m/>
    <n v="8124.99"/>
    <m/>
  </r>
  <r>
    <n v="72"/>
    <s v="4.9"/>
    <s v="1.9.Organizar visitas domiciliares em busca de contactos dos casos positivos, perdidos de vista."/>
    <x v="1"/>
    <x v="2"/>
    <n v="3"/>
    <x v="7"/>
    <s v="Numero de conctatos notificados e seguidos"/>
    <s v="Casos de tuberculose diagnosticados"/>
    <s v="PNLT"/>
    <x v="3"/>
    <s v="Actividade contínua desde T1 2013, com custos anuais na ordem dos USD 7.140"/>
    <n v="7140"/>
    <n v="7140"/>
    <n v="7140"/>
    <n v="21420"/>
    <m/>
    <m/>
    <m/>
    <m/>
    <m/>
    <m/>
  </r>
  <r>
    <n v="73"/>
    <s v="4.10.1"/>
    <s v="Formar 15 formadores sobre Sintomáticos Respiratórios, 1 sessão de 5 dias no Ano 1 "/>
    <x v="0"/>
    <x v="2"/>
    <n v="3"/>
    <x v="7"/>
    <s v="Numero de pretadores de cuidados de saude capacitados"/>
    <s v="Casos de tuberculose diagnosticados"/>
    <s v="ISVSM"/>
    <x v="7"/>
    <s v="Necessidade de uma AT Internacional;  provavelmente a mesma para a actividade 4.8"/>
    <n v="0"/>
    <n v="0"/>
    <n v="0"/>
    <n v="0"/>
    <m/>
    <m/>
    <m/>
    <m/>
    <m/>
    <m/>
  </r>
  <r>
    <n v="74"/>
    <s v="4.10.2"/>
    <s v="Formar 100 tecnicos de saude sobre Sintomáticos Respiratórios, 4 sessão de 5 dias no Ano 1 "/>
    <x v="0"/>
    <x v="2"/>
    <n v="3"/>
    <x v="7"/>
    <s v="Numero de pretadores de cuidados de saude capacitados"/>
    <s v="Casos de tuberculose diagnosticados"/>
    <s v="ISVSM"/>
    <x v="7"/>
    <s v="A formação dos 100 téncicos ocorrerá em  4 sessões de formação de uma duração de 5 dias, cada uma."/>
    <n v="20725.560000000001"/>
    <n v="0"/>
    <n v="0"/>
    <n v="20725.560000000001"/>
    <n v="20725.560000000001"/>
    <m/>
    <m/>
    <m/>
    <m/>
    <m/>
  </r>
  <r>
    <n v="75"/>
    <s v="4.10.3"/>
    <s v="Reciclar 100 tecnicos de saude sobre Sintomáticos Respiratórios, 4 sessão de 5 dias no Ano 2"/>
    <x v="0"/>
    <x v="2"/>
    <n v="3"/>
    <x v="7"/>
    <m/>
    <s v="Casos de tuberculose diagnosticados"/>
    <s v="ISVSM"/>
    <x v="7"/>
    <s v="Os formados na actividade 4.10.2 serão reciclados dois anos mais tarde"/>
    <n v="0"/>
    <n v="20725.560000000001"/>
    <n v="0"/>
    <n v="20725.560000000001"/>
    <n v="20725.560000000001"/>
    <m/>
    <m/>
    <m/>
    <m/>
    <m/>
  </r>
  <r>
    <n v="76"/>
    <s v="4.11"/>
    <s v="1.12.Supervisionar trimestralmente os CDT "/>
    <x v="1"/>
    <x v="3"/>
    <n v="2"/>
    <x v="7"/>
    <s v="Numero de pretadores de cuidados de saude capacitados"/>
    <s v="Casos de tuberculose diagnosticados"/>
    <s v="PNLT"/>
    <x v="1"/>
    <s v="Trata-se de realizar actividades de supervisão trimestralmente (pontos focais dos distritos aos postos e ASC) ; actividade contínua à partir do T1 2013, com custo anual na ordem dos USD 3.789 "/>
    <n v="3788.65"/>
    <n v="3788.65"/>
    <n v="3788.65"/>
    <n v="11365.95"/>
    <n v="11365.95"/>
    <m/>
    <m/>
    <m/>
    <m/>
    <m/>
  </r>
  <r>
    <n v="77"/>
    <s v="4.12"/>
    <s v="Aquisição de combustível para os distritos no apoio ao DOT ao nível comunitário"/>
    <x v="1"/>
    <x v="2"/>
    <n v="3"/>
    <x v="7"/>
    <m/>
    <s v="Casos de tuberculose diagnosticados"/>
    <s v="PNLT"/>
    <x v="8"/>
    <s v="Actividade contínua à partir do T1 2013;custo anual = 3.070"/>
    <n v="3070.2"/>
    <n v="3070.2"/>
    <n v="3070.2"/>
    <n v="9210.5999999999985"/>
    <n v="9210.5999999999985"/>
    <m/>
    <m/>
    <m/>
    <m/>
    <m/>
  </r>
  <r>
    <n v="78"/>
    <s v="4.13"/>
    <s v="Adquirir um microscopio de LED"/>
    <x v="1"/>
    <x v="2"/>
    <n v="3"/>
    <x v="7"/>
    <m/>
    <s v="Casos de tuberculose diagnosticados"/>
    <s v="PNUD"/>
    <x v="3"/>
    <m/>
    <n v="5000"/>
    <n v="0"/>
    <n v="0"/>
    <n v="5000"/>
    <n v="5000"/>
    <m/>
    <m/>
    <m/>
    <m/>
    <m/>
  </r>
  <r>
    <n v="79"/>
    <s v="5.1"/>
    <s v="Revisão  e impressão (do guia de manejo de caso de TB, modulos de formação)"/>
    <x v="1"/>
    <x v="2"/>
    <n v="3"/>
    <x v="8"/>
    <s v="Numero de documentos impressos"/>
    <s v="100% de casos detectados tratados"/>
    <s v="PNLT"/>
    <x v="3"/>
    <s v="Esta actividade necessita de uma AT Internacional; os trabalhos previstos culminarão com a realização de um atelier de 10 dias de duração com  25 participantes"/>
    <n v="0"/>
    <n v="0"/>
    <n v="0"/>
    <n v="0"/>
    <n v="0"/>
    <m/>
    <m/>
    <m/>
    <m/>
    <m/>
  </r>
  <r>
    <n v="80"/>
    <s v="5.2"/>
    <s v="Assegurar o aprovisionamento em antituberculosos de 1º linha (pacote)"/>
    <x v="1"/>
    <x v="2"/>
    <n v="3"/>
    <x v="8"/>
    <s v="Numero de dias de ruptura"/>
    <s v="100% de casos detectados tratados"/>
    <s v="PNLT"/>
    <x v="5"/>
    <s v="Trata-se de aquisição anual de medicamentos de primeira linha para tratar  (pacote por doente) adultos durante 5 anos"/>
    <n v="8050"/>
    <n v="4370"/>
    <n v="9430"/>
    <n v="21850"/>
    <m/>
    <m/>
    <m/>
    <n v="21850"/>
    <m/>
    <m/>
  </r>
  <r>
    <n v="81"/>
    <s v="5.2.1"/>
    <s v="Adquirir medicamentos para retratamento de 53 doentes durante 5 Anos"/>
    <x v="1"/>
    <x v="2"/>
    <n v="3"/>
    <x v="8"/>
    <m/>
    <s v="100% de casos detectados tratados"/>
    <s v="PNLT"/>
    <x v="5"/>
    <s v="Os medicamentos a serem adquiridos, todos os anos (T4) destinam-se ao tratamento de 53 doentes durante 5 anos "/>
    <n v="1280"/>
    <n v="832"/>
    <n v="2304"/>
    <n v="4416"/>
    <m/>
    <m/>
    <m/>
    <n v="4416"/>
    <m/>
    <m/>
  </r>
  <r>
    <n v="82"/>
    <s v="5.2.2"/>
    <s v="Adquirir medicamentos de primeira linha para tratar um total de 19 crianças durante 5 Anos"/>
    <x v="1"/>
    <x v="2"/>
    <n v="3"/>
    <x v="8"/>
    <m/>
    <s v="100% de casos detectados tratados"/>
    <s v="PNLT"/>
    <x v="5"/>
    <s v="Aquisição anual (T4) de medicamentos de primeira linha para tratamento de 19 crianças, durante 5 Anos"/>
    <n v="132"/>
    <n v="110"/>
    <n v="220"/>
    <n v="462"/>
    <m/>
    <m/>
    <m/>
    <n v="462"/>
    <m/>
    <m/>
  </r>
  <r>
    <n v="83"/>
    <s v="5.3"/>
    <s v="Assegurar o controlo de qualidade nacional (CQ) dos medicamentos nos postos de distribuição (laboratório a ser identificado)"/>
    <x v="1"/>
    <x v="2"/>
    <n v="3"/>
    <x v="8"/>
    <s v="Numero de relatório de CQ"/>
    <s v="100% de casos detectados tratados"/>
    <s v="FNM"/>
    <x v="5"/>
    <s v="Trata-se de identificação e de assinatura de uma convenção com um laboratório supranacional para que se possa assegurar o controlo de qualidade nacional(CQ) dos medicamentos nos postos de distribuição; actividade anual a ser concretizada nos T4"/>
    <n v="1783.86"/>
    <n v="1134.3599999999999"/>
    <n v="3058.62"/>
    <n v="5976.84"/>
    <n v="5976.84"/>
    <m/>
    <m/>
    <m/>
    <m/>
    <m/>
  </r>
  <r>
    <n v="84"/>
    <s v="5.4"/>
    <s v="Formar 24 supervisores (supervisão integrada), uma secção de 5 dias."/>
    <x v="0"/>
    <x v="3"/>
    <n v="2"/>
    <x v="1"/>
    <s v="Numero de supervisosres formados"/>
    <s v="100% de casos detectados tratados"/>
    <s v="ISVSM"/>
    <x v="1"/>
    <s v="Formação a ter lugar no 4º trimestre de 2013, numa única sessão de 5 dias de duração."/>
    <n v="3182.41"/>
    <n v="0"/>
    <n v="0"/>
    <n v="3182.41"/>
    <m/>
    <m/>
    <m/>
    <m/>
    <m/>
    <m/>
  </r>
  <r>
    <n v="85"/>
    <s v="5.5"/>
    <s v="Supervisionar os prestadores de cuidados de saúde"/>
    <x v="1"/>
    <x v="3"/>
    <n v="2"/>
    <x v="1"/>
    <s v="Numero de visitas de supervisão "/>
    <s v="100% de casos detectados tratados"/>
    <s v="PNLT"/>
    <x v="1"/>
    <s v=" Realização de supervisão trimestral aos distritos, a partir do n central; Actividade contínua à partir do T1 2013;custo anual = USD 3.182"/>
    <n v="3182.41"/>
    <n v="3182.41"/>
    <n v="3182.41"/>
    <n v="9547.23"/>
    <n v="9547.23"/>
    <m/>
    <m/>
    <m/>
    <m/>
    <m/>
  </r>
  <r>
    <n v="86"/>
    <s v="5.6"/>
    <s v="Assegurar a aplicação do tratamento directamente observado"/>
    <x v="1"/>
    <x v="2"/>
    <n v="3"/>
    <x v="8"/>
    <s v="Percentagem de estruturas que aplicam TODO"/>
    <s v="100% de casos detectados tratados"/>
    <s v="PNLT"/>
    <x v="8"/>
    <s v="Actividade contínua à partir do T1 2013;disponibilização de verbas todos os Trimestres."/>
    <n v="3070.2"/>
    <n v="3070.2"/>
    <n v="3070.2"/>
    <n v="9210.5999999999985"/>
    <n v="9210.5999999999985"/>
    <m/>
    <m/>
    <m/>
    <m/>
    <m/>
  </r>
  <r>
    <n v="87"/>
    <s v="5.7.1"/>
    <s v=" Formar 50 Activistas de ONG, Associações Locais e (10) Socoristas para sensibilização das comunidades sobre TB  (TB/HIV; TB/MR)- (5 Dias, em 2 sessões de 20 pessoas em ST e uma sessão de 10 pessoas na RAP, Ano 1)"/>
    <x v="2"/>
    <x v="2"/>
    <n v="3"/>
    <x v="6"/>
    <m/>
    <s v="100% de casos detectados tratados"/>
    <s v="Zatona Adil"/>
    <x v="8"/>
    <s v=" A actividade visa a sensibilização das comunidades sobre TB  (TB/HIV; TB/MR); haverá  2 sessões de formação de 20 participantes (cada uma) e de uma duração de 5 dias em São Tomé; na RAP será realizada uma sessão para 10 participantes"/>
    <n v="11856.72"/>
    <n v="0"/>
    <n v="0"/>
    <n v="11856.72"/>
    <n v="11856.72"/>
    <m/>
    <m/>
    <m/>
    <m/>
    <m/>
  </r>
  <r>
    <n v="88"/>
    <s v="5.7.2"/>
    <s v=" Reciclar 50 Activistas de ONG, Associações Locais e (10) Socoristas para sensibilização das comunidades sobre TB  (TB/HIV; TB/MR)- (5 Dias, em 2 sessões de 20 pessoas em ST e uma sessão de 10 pessoas na RAP, ano 3)"/>
    <x v="2"/>
    <x v="2"/>
    <n v="3"/>
    <x v="6"/>
    <m/>
    <s v="100% de casos detectados tratados"/>
    <s v="Zatona Adil"/>
    <x v="8"/>
    <s v="Os formados em 5.7.1 serão reciclados dois anos mais tarde"/>
    <m/>
    <n v="11856.72"/>
    <n v="0"/>
    <n v="11856.72"/>
    <m/>
    <m/>
    <m/>
    <m/>
    <m/>
    <m/>
  </r>
  <r>
    <n v="89"/>
    <s v="5.8"/>
    <s v="Apoio nutricional e Psico-social à 150 pacientes, durante 5 anos"/>
    <x v="0"/>
    <x v="2"/>
    <n v="3"/>
    <x v="8"/>
    <m/>
    <s v="100% de casos detectados tratados"/>
    <s v="PNLT"/>
    <x v="8"/>
    <s v="Actividade contínua à partir do T1 de 2013 e com custo anual na ordem de USD 3.000"/>
    <n v="3000"/>
    <n v="3000"/>
    <n v="3000"/>
    <n v="9000"/>
    <m/>
    <m/>
    <m/>
    <m/>
    <m/>
    <m/>
  </r>
  <r>
    <n v="90"/>
    <s v="5.9"/>
    <s v="Formar e reciclar Médicos em manejo dos casos e estratégia Stop TB, co-infecção TB/HIV (5 Dias, 40 participantes) 20 participantes no ano 1 e 20 no ano 3"/>
    <x v="1"/>
    <x v="2"/>
    <n v="3"/>
    <x v="8"/>
    <m/>
    <s v="100% de casos detectados tratados"/>
    <s v="ISVSM"/>
    <x v="3"/>
    <s v="Concerne 40 Médicos repartidos em duas sessões de 20 participantes e com duração de 5 dias; a Reciclagem terá lugar em 2016"/>
    <m/>
    <n v="6143.39"/>
    <n v="0"/>
    <n v="6143.39"/>
    <m/>
    <m/>
    <m/>
    <m/>
    <m/>
    <m/>
  </r>
  <r>
    <n v="91"/>
    <s v="5.10"/>
    <s v=" Formar 100 enfermeiros em manejo dos casos e estratégia Stop TB, co-infecção TB/HIV e  (2 sessões por ano de 5 Dias 50 no ano 1 e 50 no ano 3), Sendo 80 ST+20 RAP"/>
    <x v="1"/>
    <x v="2"/>
    <n v="3"/>
    <x v="8"/>
    <m/>
    <s v="100% de casos detectados tratados"/>
    <s v="ISVSM"/>
    <x v="3"/>
    <s v="A formação abrange 100 enfermeiros, reunidos em dois grupos de 50 em cada Ano (2014 e 2015)"/>
    <m/>
    <n v="9806.06"/>
    <n v="0"/>
    <n v="9806.06"/>
    <m/>
    <m/>
    <m/>
    <m/>
    <m/>
    <m/>
  </r>
  <r>
    <n v="92"/>
    <s v="5.11"/>
    <s v="Gestão dos efeitos secundários "/>
    <x v="1"/>
    <x v="2"/>
    <n v="3"/>
    <x v="8"/>
    <m/>
    <s v="100% de casos detectados tratados"/>
    <s v="PNLT"/>
    <x v="5"/>
    <s v="Actividade contínua à partir do T1 de 2013 e com custo anual na ordem de USD 2.500; O orçamento global mais correcto seria USD 12.500"/>
    <n v="2500"/>
    <n v="2500"/>
    <n v="2500"/>
    <n v="7500"/>
    <m/>
    <m/>
    <m/>
    <m/>
    <n v="7500"/>
    <m/>
  </r>
  <r>
    <n v="93"/>
    <s v="6.1"/>
    <s v="Implementar o órgão de coordenação central e distrital das actividades de colaboração TB/HIV "/>
    <x v="1"/>
    <x v="4"/>
    <n v="4"/>
    <x v="9"/>
    <s v="Realização de uma reunião anual"/>
    <s v="prestação de serv. Integ. TB/HIV"/>
    <s v="PNLT"/>
    <x v="9"/>
    <s v="Actividade destacada apenas à título indicativo"/>
    <n v="0"/>
    <n v="0"/>
    <n v="0"/>
    <n v="0"/>
    <n v="0"/>
    <n v="0"/>
    <n v="0"/>
    <n v="0"/>
    <n v="0"/>
    <m/>
  </r>
  <r>
    <n v="94"/>
    <s v="6.2"/>
    <s v="Elaborar um Guia Nacional de Co-infeccção"/>
    <x v="1"/>
    <x v="4"/>
    <n v="4"/>
    <x v="9"/>
    <s v=" Guia nacional de coinfecção disponível"/>
    <s v="prestação de serv. Integ. TB/HIV"/>
    <s v="PNLT"/>
    <x v="9"/>
    <s v="Necessidade de uma AT Internacional; os trabalhos serão desenvolvidos sobretudo no âmbito  de um atelier de 5 dias de duração com  25 participantes"/>
    <n v="0"/>
    <n v="0"/>
    <n v="0"/>
    <n v="0"/>
    <m/>
    <m/>
    <m/>
    <m/>
    <m/>
    <m/>
  </r>
  <r>
    <n v="95"/>
    <s v="6.3"/>
    <s v="Colaborar na Integração dos instrumentos de registos e de reportagem de PNLS  para seguir as actividades  de 3 Is."/>
    <x v="1"/>
    <x v="4"/>
    <n v="4"/>
    <x v="9"/>
    <s v="Iinstrumentos de registos e de reportagem das actividades adaptados e disponíveis"/>
    <s v="prestação de serv. Integ. TB/HIV"/>
    <s v="PNLT"/>
    <x v="9"/>
    <s v="Actividade destacada apenas à título indicativo; coberta por 6.17"/>
    <n v="0"/>
    <n v="0"/>
    <n v="0"/>
    <n v="0"/>
    <n v="0"/>
    <n v="0"/>
    <n v="0"/>
    <n v="0"/>
    <n v="0"/>
    <m/>
  </r>
  <r>
    <n v="96"/>
    <s v="6.4"/>
    <s v="Organizar reuniões de planificação e seguimento das actividades trimestralmente"/>
    <x v="1"/>
    <x v="4"/>
    <n v="4"/>
    <x v="9"/>
    <s v="Nº de reuniões realizadas"/>
    <s v="prestação de serv. Integ. TB/HIV"/>
    <s v="PNLT"/>
    <x v="9"/>
    <s v="Actividade contínua à partir do T1 2013, com custo anual na ordem dos USD 367"/>
    <n v="366.67"/>
    <n v="366.67"/>
    <n v="366.67"/>
    <n v="1100.01"/>
    <n v="1100.01"/>
    <m/>
    <m/>
    <m/>
    <m/>
    <m/>
  </r>
  <r>
    <n v="97"/>
    <s v="6.5"/>
    <s v="Aprovisionar as unidades sanitárias com a isoniazida aos pacientes de HIV elegíveis (4.771 pacientes previsto nos 5 anos)"/>
    <x v="1"/>
    <x v="4"/>
    <n v="4"/>
    <x v="10"/>
    <s v="Nº de Isoniasida destribuidos"/>
    <s v="prestação de serv. Integ. TB/HIV"/>
    <s v="PNLT"/>
    <x v="5"/>
    <m/>
    <n v="951"/>
    <n v="963"/>
    <n v="975"/>
    <n v="2889"/>
    <m/>
    <m/>
    <m/>
    <m/>
    <n v="2889"/>
    <m/>
  </r>
  <r>
    <n v="98"/>
    <s v="6.6"/>
    <s v="Assegurar a despistagem da TB (teste PPD)"/>
    <x v="1"/>
    <x v="4"/>
    <n v="4"/>
    <x v="10"/>
    <s v="numero e percentagem de PVHVI testados"/>
    <s v="prestação de serv. Integ. TB/HIV"/>
    <s v="PNLT"/>
    <x v="5"/>
    <s v="Actividade contínua à partir do T1 2013, com custo anual na ordem dos USD 1.262; disponibilização de verbas todos os Trimestres"/>
    <n v="1262.48"/>
    <n v="1262.48"/>
    <n v="1262.48"/>
    <n v="3787.44"/>
    <m/>
    <m/>
    <m/>
    <m/>
    <m/>
    <m/>
  </r>
  <r>
    <n v="99"/>
    <s v="6.8"/>
    <s v="Reforçar o aconselhamento da prevenção do VIH nos doentes TB"/>
    <x v="1"/>
    <x v="4"/>
    <n v="4"/>
    <x v="9"/>
    <m/>
    <s v="prestação de serv. Integ. TB/HIV"/>
    <s v="PNLT"/>
    <x v="9"/>
    <s v="Actividade destacada apenas à título indicativo"/>
    <n v="0"/>
    <n v="0"/>
    <n v="0"/>
    <n v="0"/>
    <m/>
    <m/>
    <m/>
    <m/>
    <m/>
    <m/>
  </r>
  <r>
    <n v="100"/>
    <s v="6.9"/>
    <s v="Reforçar as capacidades dos prestadores de cuidados de saúde em TB/HIV (Médicos, 100 enfermeiros,"/>
    <x v="1"/>
    <x v="4"/>
    <n v="4"/>
    <x v="9"/>
    <s v="Nº de médicos formados em TB/HIV"/>
    <s v="prestação de serv. Integ. TB/HIV"/>
    <s v="PNLT"/>
    <x v="9"/>
    <s v="Actividade destacada apenas à título indicativo; coberto por 5.9 e 5.10"/>
    <n v="0"/>
    <n v="0"/>
    <n v="0"/>
    <n v="0"/>
    <m/>
    <m/>
    <m/>
    <m/>
    <m/>
    <m/>
  </r>
  <r>
    <n v="101"/>
    <s v="6.10"/>
    <s v="Determinar a prevalência d de TB nas pessoas que vivem com VIH "/>
    <x v="1"/>
    <x v="4"/>
    <n v="4"/>
    <x v="10"/>
    <s v="Prevalência de TB nas pessoas que vivem com HIV"/>
    <s v="prestação de serv. Integ. TB/HIV"/>
    <s v="PNLS"/>
    <x v="9"/>
    <s v="Actividade contínua desde T1 2013; o custo médio anual é na ordem dos USD 1.886"/>
    <n v="2621.6928999999996"/>
    <n v="2621.6928999999996"/>
    <n v="2621.6928999999996"/>
    <n v="7865.0786999999982"/>
    <m/>
    <m/>
    <m/>
    <m/>
    <n v="7865.0786999999982"/>
    <m/>
  </r>
  <r>
    <n v="102"/>
    <s v="6.11"/>
    <s v="Determinar VIH nos pacientes com TB através dos postos sentinelas"/>
    <x v="1"/>
    <x v="4"/>
    <n v="4"/>
    <x v="10"/>
    <s v="Prevalência de VIH nos pacientes TB"/>
    <s v="prestação de serv. Integ. TB/HIV"/>
    <s v="PNLT"/>
    <x v="9"/>
    <s v="Actividade contínua destacada apenas à título indicativo; custos suportados  por PNLS"/>
    <n v="0"/>
    <n v="0"/>
    <n v="0"/>
    <n v="0"/>
    <n v="0"/>
    <n v="0"/>
    <n v="0"/>
    <n v="0"/>
    <n v="0"/>
    <m/>
  </r>
  <r>
    <n v="103"/>
    <s v="6.12"/>
    <s v="Formar 15 formadores em TB/HIV, 1 secção de 5 dias no Ano 2"/>
    <x v="1"/>
    <x v="4"/>
    <n v="4"/>
    <x v="9"/>
    <m/>
    <s v="prestação de serv. Integ. TB/HIV"/>
    <s v="ISVSM"/>
    <x v="9"/>
    <m/>
    <n v="0"/>
    <n v="0"/>
    <n v="0"/>
    <n v="0"/>
    <n v="0"/>
    <m/>
    <m/>
    <m/>
    <m/>
    <m/>
  </r>
  <r>
    <n v="104"/>
    <s v="6.13"/>
    <s v="Reciclar 15 formadores em TB/HIV, 1 secção de 5 dias no Ano 4"/>
    <x v="1"/>
    <x v="4"/>
    <n v="4"/>
    <x v="9"/>
    <m/>
    <s v="prestação de serv. Integ. TB/HIV"/>
    <s v="ISVSM"/>
    <x v="9"/>
    <s v="Reciclagem  prevista para 2016"/>
    <m/>
    <n v="9994.2199999999993"/>
    <n v="0"/>
    <n v="9994.2199999999993"/>
    <n v="9994.2199999999993"/>
    <m/>
    <m/>
    <m/>
    <m/>
    <m/>
  </r>
  <r>
    <n v="105"/>
    <s v="6.14"/>
    <s v="Adquirir cotrimoxazol"/>
    <x v="1"/>
    <x v="4"/>
    <n v="4"/>
    <x v="10"/>
    <m/>
    <s v="prestação de serv. Integ. TB/HIV"/>
    <s v="PNLS"/>
    <x v="5"/>
    <s v="Actividade anual, contínua a ser concretizada nos 3º trimestres"/>
    <n v="0"/>
    <n v="0"/>
    <n v="0"/>
    <n v="0"/>
    <n v="0"/>
    <n v="0"/>
    <n v="0"/>
    <n v="0"/>
    <n v="0"/>
    <m/>
  </r>
  <r>
    <n v="106"/>
    <s v="6.15"/>
    <s v="Adquirir ARV"/>
    <x v="1"/>
    <x v="4"/>
    <n v="4"/>
    <x v="10"/>
    <m/>
    <s v="prestação de serv. Integ. TB/HIV"/>
    <s v="PNLS"/>
    <x v="5"/>
    <s v="Actividade anual, contínua a ser concretizada nos 3º trimestres"/>
    <n v="0"/>
    <n v="0"/>
    <n v="0"/>
    <n v="0"/>
    <n v="0"/>
    <n v="0"/>
    <n v="0"/>
    <n v="0"/>
    <n v="0"/>
    <m/>
  </r>
  <r>
    <n v="107"/>
    <s v="6.16"/>
    <s v="Adquirir teste de VIH"/>
    <x v="1"/>
    <x v="4"/>
    <n v="4"/>
    <x v="10"/>
    <m/>
    <s v="prestação de serv. Integ. TB/HIV"/>
    <s v="PNLS"/>
    <x v="5"/>
    <s v="Actividade anual, contínua, em princípio, coberta por FNUAP; a ser concretizada no T3"/>
    <n v="0"/>
    <n v="0"/>
    <n v="0"/>
    <n v="0"/>
    <n v="0"/>
    <n v="0"/>
    <n v="0"/>
    <n v="0"/>
    <n v="0"/>
    <m/>
  </r>
  <r>
    <n v="108"/>
    <s v="6.17"/>
    <s v="Colaborar na Integração dos instrumentos de registos e de reportagem para seguir as actividades de 3 Is."/>
    <x v="1"/>
    <x v="4"/>
    <n v="4"/>
    <x v="9"/>
    <m/>
    <s v="prestação de serv. Integ. TB/HIV"/>
    <s v="PNLT"/>
    <x v="9"/>
    <s v="Actividade contínua com concretização prevista para T4 de cada ano"/>
    <n v="2000"/>
    <n v="2000"/>
    <n v="2000"/>
    <n v="6000"/>
    <m/>
    <m/>
    <m/>
    <m/>
    <m/>
    <m/>
  </r>
  <r>
    <n v="109"/>
    <s v="6.18"/>
    <s v="Atelier para Elaboração da politica de controlo de infecção (25 participantes durante 5 dias)"/>
    <x v="1"/>
    <x v="4"/>
    <n v="4"/>
    <x v="9"/>
    <m/>
    <s v="prestação de serv. Integ. TB/HIV"/>
    <s v="PNLT"/>
    <x v="9"/>
    <s v="Atelier de 5 dias de duração com  25 participantes, a ser realizado no 1º trimestre de 2014"/>
    <n v="0"/>
    <n v="0"/>
    <n v="0"/>
    <n v="0"/>
    <m/>
    <m/>
    <m/>
    <m/>
    <n v="0"/>
    <m/>
  </r>
  <r>
    <n v="110"/>
    <s v="7.1"/>
    <s v="Rever reproduzir o guia de Gestão de TB MR"/>
    <x v="1"/>
    <x v="1"/>
    <n v="5"/>
    <x v="11"/>
    <s v="Numero de guia disponivel"/>
    <s v="Capacidades de PNLT para gestão de  TB MR  reforçadas"/>
    <s v="PNLT"/>
    <x v="10"/>
    <s v="Atelier de 3 dias de duração com  15 participantes, a decorrer no 2º trimestre de 2015"/>
    <n v="0"/>
    <n v="2070.59"/>
    <n v="0"/>
    <n v="2070.59"/>
    <n v="2070.59"/>
    <m/>
    <m/>
    <m/>
    <m/>
    <m/>
  </r>
  <r>
    <n v="111"/>
    <s v="7.2"/>
    <s v="Elaborar o documento de politica de controlo de infecção TB nos serviços de saúde e estabelecimentos colectivos e respectivo plano"/>
    <x v="1"/>
    <x v="1"/>
    <n v="5"/>
    <x v="11"/>
    <s v="Documentos elaborados e  disponiveis"/>
    <s v="Capacidades de PNLT para gestão de  TB MR  reforçadas"/>
    <s v="PNLT"/>
    <x v="10"/>
    <s v="Necessidade de uma AT Internacional; alocação de fundo suplementar (USD 50.000) proveniente de 5.11 Gestão de efeitos secundários; o Atelier terá uma duração de 5 dias com  25 participantes, e será realizado no 2º trimestre de 2014"/>
    <n v="0"/>
    <n v="0"/>
    <n v="0"/>
    <n v="0"/>
    <n v="0"/>
    <m/>
    <m/>
    <m/>
    <m/>
    <m/>
  </r>
  <r>
    <n v="112"/>
    <s v="7.3"/>
    <s v=" Formar  15 técnicos em gestão de TB MR, 1 sessão de 5 dias (ano 3 e ano 4)"/>
    <x v="0"/>
    <x v="1"/>
    <n v="5"/>
    <x v="11"/>
    <s v="Numero técnicos formados"/>
    <s v="Capacidades de PNLT para gestão de  TB MR  reforçadas"/>
    <s v="ISVSM"/>
    <x v="10"/>
    <s v="Trata-se de formação de formadores que irão assegurar a realização das actividades 7.18,19,20"/>
    <n v="4411.3900000000003"/>
    <n v="4411.3900000000003"/>
    <n v="0"/>
    <n v="8822.7800000000007"/>
    <n v="8822.7800000000007"/>
    <m/>
    <m/>
    <m/>
    <m/>
    <m/>
  </r>
  <r>
    <n v="113"/>
    <s v="7.4.1"/>
    <s v="Formar 2 técnicos de laboratório em cultura, no exteriordo país."/>
    <x v="1"/>
    <x v="1"/>
    <n v="5"/>
    <x v="12"/>
    <s v="Numero técnicos formados"/>
    <s v="Capacidades de PNLT para gestão de  TB MR  reforçadas"/>
    <s v="PNLT"/>
    <x v="10"/>
    <s v="Prevê-se a formação de 2 técnicos de laboratório no exterior o país, em simultãneo, no 4º trimestre de 2014"/>
    <n v="38152"/>
    <n v="0"/>
    <n v="0"/>
    <n v="38152"/>
    <n v="19076"/>
    <n v="19076"/>
    <m/>
    <m/>
    <m/>
    <m/>
  </r>
  <r>
    <n v="114"/>
    <s v="7.5"/>
    <s v=" Implementar o Laboratório de cultura e o teste de sensibilidade"/>
    <x v="1"/>
    <x v="1"/>
    <n v="5"/>
    <x v="12"/>
    <s v="Numero de exames realizados localmente"/>
    <s v="Capacidades de PNLT para gestão de  TB MR  reforçadas"/>
    <s v="PNLT"/>
    <x v="4"/>
    <s v="Esta actividade de grande relevo,  também está destacada no Plano EXPANSÃO (2.5), com a conclusão prevista para T3 2014"/>
    <n v="563554.69999999995"/>
    <n v="0"/>
    <n v="0"/>
    <n v="563554.69999999995"/>
    <m/>
    <n v="563554.69999999995"/>
    <m/>
    <m/>
    <m/>
    <m/>
  </r>
  <r>
    <n v="115"/>
    <s v="7.6"/>
    <s v="Aprovisionar o país de uma de teste rápido (Gene-Xpert e cartuchos)"/>
    <x v="1"/>
    <x v="1"/>
    <n v="5"/>
    <x v="12"/>
    <s v="Numero de dias de ruptura"/>
    <s v="Capacidades de PNLT para gestão de  TB MR  reforçadas"/>
    <s v="PNUD"/>
    <x v="5"/>
    <s v="Actividade destacada no PLANO EXPANS com o código 2.4"/>
    <n v="35499.599999999999"/>
    <n v="21897"/>
    <n v="22942"/>
    <n v="80338.600000000006"/>
    <n v="80338.600000000006"/>
    <m/>
    <m/>
    <m/>
    <m/>
    <m/>
  </r>
  <r>
    <n v="116"/>
    <s v="7.7"/>
    <s v="Aprovisionar o laboratório de cultura em consumíveis e reagente "/>
    <x v="1"/>
    <x v="1"/>
    <n v="5"/>
    <x v="12"/>
    <s v="Numero de dias de ruptura"/>
    <s v="Capacidades de PNLT para gestão de  TB MR  reforçadas"/>
    <s v="PNUD"/>
    <x v="5"/>
    <s v="Actividade destacada no PL EXPANS com código 2.6; trata-se de adquirir reagentes e consumíveis de laboratório para cultura e teste de sensibilidade durante 5 anos"/>
    <n v="12480"/>
    <n v="14400"/>
    <n v="19680"/>
    <n v="46560"/>
    <n v="19680"/>
    <n v="26880"/>
    <m/>
    <m/>
    <m/>
    <m/>
  </r>
  <r>
    <n v="117"/>
    <s v="7.8"/>
    <s v="Reforçar o sistema de transporte de amostras"/>
    <x v="1"/>
    <x v="1"/>
    <n v="5"/>
    <x v="12"/>
    <s v="Numero de amostras referidas das US"/>
    <s v="Capacidades de PNLT para gestão de  TB MR  reforçadas"/>
    <s v="PNLT"/>
    <x v="4"/>
    <s v="Trata-se de controlo ao nível interno (distritos/país); actividade contínua desde T1 2013"/>
    <n v="1003.33"/>
    <n v="1003.33"/>
    <n v="1003.33"/>
    <n v="3009.9900000000002"/>
    <n v="3009.9900000000002"/>
    <m/>
    <m/>
    <m/>
    <m/>
    <m/>
  </r>
  <r>
    <n v="118"/>
    <s v="7.9"/>
    <s v="Criar e fazer funcionar um grupo de coordenação gestão para TB MR. (grupo técnico nacional)"/>
    <x v="0"/>
    <x v="1"/>
    <n v="5"/>
    <x v="11"/>
    <s v="Numero de relatorio das actividades"/>
    <s v="Capacidades de PNLT para gestão de  TB MR  reforçadas"/>
    <s v="PNLT"/>
    <x v="10"/>
    <s v="Actividade contínua, destacada apenas à título indicativo"/>
    <n v="0"/>
    <n v="0"/>
    <n v="0"/>
    <n v="0"/>
    <n v="0"/>
    <n v="0"/>
    <n v="0"/>
    <n v="0"/>
    <n v="0"/>
    <m/>
  </r>
  <r>
    <n v="119"/>
    <s v="7.10"/>
    <s v="Assegurar o tratamento de 2ªlinha a todos os casos de TBMR conforme as directrizes nacional (53 pacotes)"/>
    <x v="1"/>
    <x v="1"/>
    <n v="5"/>
    <x v="8"/>
    <s v="Numero de pacientes submetidos ao tratamento de 2ªlinha"/>
    <s v="Capacidades de PNLT para gestão de  TB MR  reforçadas"/>
    <s v="PNUD"/>
    <x v="10"/>
    <s v="Actividade contínua desde T1 2013; trata-se de adquirir medicamentos de segunda linha para 53 doentes TB/MR, durante 5 Anos"/>
    <n v="19345"/>
    <n v="19674"/>
    <n v="35363"/>
    <n v="74382"/>
    <n v="74382"/>
    <m/>
    <m/>
    <m/>
    <m/>
    <m/>
  </r>
  <r>
    <m/>
    <s v="7.11"/>
    <s v="Assegurar o manejo dos efeitos secundários"/>
    <x v="1"/>
    <x v="1"/>
    <n v="5"/>
    <x v="8"/>
    <m/>
    <m/>
    <s v="PNLT"/>
    <x v="10"/>
    <s v="Actividade contínua desde T1 2013"/>
    <n v="238.1"/>
    <n v="238.1"/>
    <n v="238.1"/>
    <n v="714.3"/>
    <m/>
    <m/>
    <m/>
    <m/>
    <n v="714.3"/>
    <m/>
  </r>
  <r>
    <n v="120"/>
    <s v="7.12"/>
    <s v="Assegurar Apoio nutricional e psico social"/>
    <x v="0"/>
    <x v="1"/>
    <n v="5"/>
    <x v="8"/>
    <s v="Percentagem de pacientes que recebem cesta básica"/>
    <s v="Capacidades de PNLT para gestão de  TB MR  reforçadas"/>
    <s v="PNLT"/>
    <x v="8"/>
    <s v="Actividade contínua desde T1 2013, também destacada no Plano Expansão (3.8)"/>
    <n v="9523.81"/>
    <n v="9523.81"/>
    <n v="9523.81"/>
    <n v="28571.43"/>
    <n v="28571.43"/>
    <m/>
    <m/>
    <m/>
    <m/>
    <m/>
  </r>
  <r>
    <n v="121"/>
    <s v="7.13"/>
    <s v="Assegurar a Vigilância da resistência (implementar a vigilância sentinela)"/>
    <x v="1"/>
    <x v="1"/>
    <n v="5"/>
    <x v="11"/>
    <s v="Relatório de vigilância sentinela disponivel"/>
    <s v="Capacidades de PNLT para gestão de  TB MR  reforçadas"/>
    <s v="PNLT"/>
    <x v="10"/>
    <s v="Actividade contínua à partir do T3 2013"/>
    <n v="1423.33"/>
    <n v="1423.33"/>
    <n v="1423.33"/>
    <n v="4269.99"/>
    <n v="4269.99"/>
    <m/>
    <m/>
    <m/>
    <m/>
    <m/>
  </r>
  <r>
    <n v="122"/>
    <s v="7.14"/>
    <s v="Supervisionar as actividades de rotina da TB MR mensalmente"/>
    <x v="1"/>
    <x v="3"/>
    <n v="2"/>
    <x v="11"/>
    <s v="Numero de supervisão realizadas"/>
    <s v="Capacidades de PNLT para gestão de  TB MR  reforçadas"/>
    <s v="PNLT"/>
    <x v="1"/>
    <s v="Actividade contínua desde T1 2013"/>
    <n v="747.33"/>
    <n v="747.33"/>
    <n v="747.33"/>
    <n v="2241.9900000000002"/>
    <m/>
    <m/>
    <m/>
    <m/>
    <n v="2241.9900000000002"/>
    <m/>
  </r>
  <r>
    <n v="123"/>
    <s v="7.15"/>
    <s v="Assegurar o envio de amostras de pacientes suspeitos para CPC, durante 5 anos"/>
    <x v="1"/>
    <x v="1"/>
    <n v="5"/>
    <x v="12"/>
    <m/>
    <s v="Capacidades de PNLT para gestão de  TB MR  reforçadas"/>
    <s v="PNLT"/>
    <x v="3"/>
    <s v="Custos cobertos pelas actividades 4.4.1 e 4.4.1.1"/>
    <n v="0"/>
    <n v="0"/>
    <n v="0"/>
    <n v="0"/>
    <n v="0"/>
    <n v="0"/>
    <n v="0"/>
    <n v="0"/>
    <n v="0"/>
    <m/>
  </r>
  <r>
    <n v="124"/>
    <s v="7.16"/>
    <s v="Disponibilizar o plano de seguimento dos casos TB MR conforme as directrizes da OMS"/>
    <x v="0"/>
    <x v="1"/>
    <n v="5"/>
    <x v="11"/>
    <m/>
    <s v="Capacidades de PNLT para gestão de  TB MR  reforçadas"/>
    <s v="PNLT"/>
    <x v="10"/>
    <s v="Actividade destacada apenas à título indicativo"/>
    <n v="0"/>
    <n v="0"/>
    <n v="0"/>
    <n v="0"/>
    <n v="0"/>
    <n v="0"/>
    <n v="0"/>
    <n v="0"/>
    <n v="0"/>
    <m/>
  </r>
  <r>
    <n v="125"/>
    <s v="7.17"/>
    <s v="Reabilitação e adapatação das estruturas existentes ao  tratamento de TB MR "/>
    <x v="1"/>
    <x v="1"/>
    <n v="5"/>
    <x v="8"/>
    <m/>
    <s v="Capacidades de PNLT para gestão de  TB MR  reforçadas"/>
    <s v="PNUD"/>
    <x v="4"/>
    <s v="Adaptação do serviço de tisiologia; 2015, T2"/>
    <n v="30000"/>
    <n v="0"/>
    <n v="0"/>
    <n v="30000"/>
    <n v="30000"/>
    <m/>
    <m/>
    <m/>
    <m/>
    <m/>
  </r>
  <r>
    <n v="126"/>
    <s v="7.18"/>
    <s v="Assegurar a formação de 54 agentes de saúde n manejo de casos da Tuberculose multiresistente (18 médicos, 18 enfermeiros, 9 técnicos de farmácia e 9 de laboratório)"/>
    <x v="1"/>
    <x v="1"/>
    <n v="5"/>
    <x v="8"/>
    <m/>
    <s v="Capacidades de PNLT para gestão de  TB MR  reforçadas"/>
    <s v="NLT"/>
    <x v="10"/>
    <s v="Actividade desdobrada em duas sessões de 5 dias de duração,  sendo a 1ª no 2º Trim 2013 e a 2ª no 3º Trim 2015; ao todo serão 40 participantes, sendo 20 em cada sessão"/>
    <n v="11013.44"/>
    <n v="0"/>
    <n v="0"/>
    <n v="11013.44"/>
    <n v="11013.44"/>
    <m/>
    <m/>
    <m/>
    <m/>
    <m/>
  </r>
  <r>
    <n v="127"/>
    <s v="7.19"/>
    <s v="Fazer advocacia para a mobilização e a alocação dos recursos necessários para a luta contra a TBMR"/>
    <x v="1"/>
    <x v="1"/>
    <n v="5"/>
    <x v="11"/>
    <m/>
    <s v="Capacidades de PNLT para gestão de  TB MR  reforçadas"/>
    <s v="PNLT"/>
    <x v="10"/>
    <s v="A Reciclagem será realizada em 2016"/>
    <n v="152.30000000000001"/>
    <n v="152.30000000000001"/>
    <n v="152.30000000000001"/>
    <n v="456.90000000000003"/>
    <m/>
    <m/>
    <m/>
    <m/>
    <n v="456.90000000000003"/>
    <m/>
  </r>
  <r>
    <n v="128"/>
    <s v="7.20"/>
    <s v="Assegurar a formação de três (3) quadros do programa em gestão de TB multirresistente."/>
    <x v="1"/>
    <x v="1"/>
    <n v="5"/>
    <x v="11"/>
    <m/>
    <s v="Capacidades de PNLT para gestão de  TB MR  reforçadas"/>
    <s v="PNLT"/>
    <x v="10"/>
    <s v="Formação no esterios destinada a quadros tecnicos do programa"/>
    <n v="22152"/>
    <n v="0"/>
    <n v="0"/>
    <n v="22152"/>
    <n v="22152"/>
    <m/>
    <m/>
    <m/>
    <m/>
    <m/>
  </r>
  <r>
    <n v="129"/>
    <s v="7.21"/>
    <s v="Formar 20 pessoal de terreno para a recolha e transporte de amostras"/>
    <x v="0"/>
    <x v="1"/>
    <n v="5"/>
    <x v="12"/>
    <m/>
    <s v="Capacidades de PNLT para gestão de  TB MR  reforçadas"/>
    <s v="ISVSM"/>
    <x v="10"/>
    <s v="Desina-se aos tecnicos de laboratorio do HAM"/>
    <n v="0"/>
    <n v="0"/>
    <n v="0"/>
    <n v="0"/>
    <m/>
    <m/>
    <m/>
    <m/>
    <m/>
    <m/>
  </r>
  <r>
    <n v="130"/>
    <s v="7.22"/>
    <s v="Implementar o sistema de rastreamento das amostras do desde a recolha até ao tratamento"/>
    <x v="1"/>
    <x v="1"/>
    <n v="5"/>
    <x v="12"/>
    <m/>
    <s v="Capacidades de PNLT para gestão de  TB MR  reforçadas"/>
    <s v="PNLT"/>
    <x v="10"/>
    <s v="Elaborar directrizes sua implementação para recolha de amostras"/>
    <n v="750"/>
    <n v="750"/>
    <n v="750"/>
    <n v="2250"/>
    <m/>
    <m/>
    <m/>
    <m/>
    <n v="2250"/>
    <m/>
  </r>
  <r>
    <n v="131"/>
    <s v="7.23"/>
    <s v="Tratar 100% dos casos de TB MR confirmados  até 2017"/>
    <x v="1"/>
    <x v="1"/>
    <n v="5"/>
    <x v="8"/>
    <m/>
    <s v="Capacidades de PNLT para gestão de  TB MR  reforçadas"/>
    <s v="PNLT"/>
    <x v="10"/>
    <m/>
    <n v="0"/>
    <n v="0"/>
    <n v="0"/>
    <n v="0"/>
    <n v="0"/>
    <n v="0"/>
    <n v="0"/>
    <n v="0"/>
    <n v="0"/>
    <m/>
  </r>
  <r>
    <n v="132"/>
    <s v="7.24"/>
    <s v="Assegurar o tratamento diretamente observado (TDO) a todos os os pacientes MR em tratamento"/>
    <x v="1"/>
    <x v="1"/>
    <n v="5"/>
    <x v="8"/>
    <m/>
    <s v="Capacidades de PNLT para gestão de  TB MR  reforçadas"/>
    <s v="PNLT"/>
    <x v="10"/>
    <n v="1"/>
    <n v="6103.6111111111113"/>
    <n v="6103.6111111111113"/>
    <n v="6103.6111111111113"/>
    <n v="18310.833333333336"/>
    <n v="18310.833333333336"/>
    <m/>
    <m/>
    <m/>
    <m/>
    <m/>
  </r>
  <r>
    <n v="133"/>
    <s v="7.25"/>
    <s v="Identificar todos os pacientes irregulares ao tratamento"/>
    <x v="1"/>
    <x v="1"/>
    <n v="5"/>
    <x v="8"/>
    <m/>
    <s v="Capacidades de PNLT para gestão de  TB MR  reforçadas"/>
    <s v="PNLT"/>
    <x v="10"/>
    <n v="1"/>
    <n v="0"/>
    <n v="0"/>
    <n v="0"/>
    <n v="0"/>
    <n v="0"/>
    <n v="0"/>
    <n v="0"/>
    <n v="0"/>
    <n v="0"/>
    <m/>
  </r>
  <r>
    <n v="134"/>
    <s v="7.26"/>
    <s v="Assegurar o seguimento dos efeitos adversos do tratamento TB MR nos doentes colocados sob tratamento, até 2017"/>
    <x v="1"/>
    <x v="1"/>
    <n v="5"/>
    <x v="8"/>
    <m/>
    <s v="Capacidades de PNLT para gestão de  TB MR  reforçadas"/>
    <s v="PNLT"/>
    <x v="10"/>
    <m/>
    <n v="266.66666666666669"/>
    <n v="277.77777777777777"/>
    <n v="319.44444444444446"/>
    <n v="863.88888888888891"/>
    <m/>
    <m/>
    <m/>
    <m/>
    <n v="863.88888888888891"/>
    <m/>
  </r>
  <r>
    <n v="135"/>
    <s v="7.27"/>
    <s v="Assegurar o manejo dos efeitos adversos a qualquer paciente sob tratamento, até 2017"/>
    <x v="1"/>
    <x v="1"/>
    <n v="5"/>
    <x v="8"/>
    <m/>
    <s v="Capacidades de PNLT para gestão de  TB MR  reforçadas"/>
    <s v="PNLT"/>
    <x v="10"/>
    <s v="Aguisição de medicamentos. Prevista para os anos 2015, 2016 e 2017, no T1 de cada ano"/>
    <n v="4608"/>
    <n v="4608"/>
    <n v="4608"/>
    <n v="13824"/>
    <m/>
    <m/>
    <m/>
    <m/>
    <n v="13824"/>
    <m/>
  </r>
  <r>
    <n v="136"/>
    <s v="7.28"/>
    <s v=" Formar  - para cada paciente ao tratamento - um membro da Comunidade para a realização do TDO, até 2017 (488 Membres de la communauté)"/>
    <x v="1"/>
    <x v="1"/>
    <n v="5"/>
    <x v="13"/>
    <s v="Percentagem de pacientes com efeitos secundários que foram tratados"/>
    <s v="Capacidades de PNLT para gestão de  TB MR  reforçadas"/>
    <s v="ISVSM"/>
    <x v="10"/>
    <s v="Fomar menbro da comunidade envolvido no DOT. Bros por trimestrePrevisto para o ano 2015,2016 e 2017, em todos os trimestes, sendo 25 mem"/>
    <n v="2720.6"/>
    <n v="2720.6"/>
    <n v="2780.3"/>
    <n v="8221.5"/>
    <n v="8221.5"/>
    <m/>
    <m/>
    <m/>
    <m/>
    <m/>
  </r>
  <r>
    <n v="137"/>
    <s v="7.29"/>
    <s v="Implementar até 2015, o mecanismo de farmacovigilância para pacientes em tratamento."/>
    <x v="1"/>
    <x v="1"/>
    <n v="5"/>
    <x v="8"/>
    <m/>
    <s v="Capacidades de PNLT para gestão de  TB MR  reforçadas"/>
    <s v="PNLT"/>
    <x v="10"/>
    <m/>
    <n v="5584.7"/>
    <n v="5584.7"/>
    <n v="5584.7"/>
    <n v="16754.099999999999"/>
    <n v="16754.099999999999"/>
    <m/>
    <m/>
    <m/>
    <m/>
    <m/>
  </r>
  <r>
    <n v="138"/>
    <s v="7.30"/>
    <s v="Treinar 16 rofessionais para a utilização das orientações e ferramentas de coleta de dados"/>
    <x v="1"/>
    <x v="3"/>
    <n v="2"/>
    <x v="11"/>
    <m/>
    <s v="Capacidades de PNLT para gestão de  TB MR  reforçadas"/>
    <s v="ISVSM"/>
    <x v="1"/>
    <s v="Formar os pontos focais de TB, os RDs dos distritos e tecnicos do HAM"/>
    <n v="0"/>
    <n v="0"/>
    <n v="0"/>
    <n v="0"/>
    <m/>
    <m/>
    <m/>
    <m/>
    <m/>
    <m/>
  </r>
  <r>
    <n v="139"/>
    <s v="7.31"/>
    <s v="Formar 50 gestores do sistema de saúde na exploração e análise de dados para tomada de decisão"/>
    <x v="0"/>
    <x v="3"/>
    <n v="2"/>
    <x v="11"/>
    <m/>
    <s v="Capacidades de PNLT para gestão de  TB MR  reforçadas"/>
    <s v="ISVSM"/>
    <x v="4"/>
    <m/>
    <n v="0"/>
    <n v="0"/>
    <n v="0"/>
    <n v="0"/>
    <m/>
    <m/>
    <m/>
    <m/>
    <m/>
    <m/>
  </r>
  <r>
    <n v="140"/>
    <s v="7.32"/>
    <s v="Advogar junto aos decisores (CNE, DAF e MSAS,.) para o planificação e orçamentação da supervisão, de forma regular "/>
    <x v="2"/>
    <x v="3"/>
    <n v="2"/>
    <x v="11"/>
    <m/>
    <s v="Capacidades de PNLT para gestão de  TB MR  reforçadas"/>
    <s v="PNLT"/>
    <x v="0"/>
    <n v="3"/>
    <n v="92.8"/>
    <n v="92.8"/>
    <n v="0"/>
    <n v="185.6"/>
    <m/>
    <m/>
    <m/>
    <m/>
    <n v="185.6"/>
    <m/>
  </r>
  <r>
    <n v="141"/>
    <s v="7.33"/>
    <s v="Rever e alinhar o Plano S &amp; A TBMR  ao caneta 2013-2017"/>
    <x v="1"/>
    <x v="3"/>
    <n v="2"/>
    <x v="11"/>
    <m/>
    <m/>
    <s v="PNLT"/>
    <x v="1"/>
    <s v="Criar um grupo de trabalho de 10 pessoas durante 3 dias"/>
    <n v="6502.8"/>
    <n v="0"/>
    <n v="0"/>
    <n v="6502.8"/>
    <n v="6502.8"/>
    <m/>
    <m/>
    <m/>
    <m/>
    <m/>
  </r>
  <r>
    <n v="142"/>
    <s v="7.34"/>
    <s v="Elaborar directrizes de vigilância de TBMR"/>
    <x v="1"/>
    <x v="1"/>
    <n v="5"/>
    <x v="11"/>
    <m/>
    <s v="Capacidades de PNLT para gestão de  TB MR  reforçadas"/>
    <s v="PNLT"/>
    <x v="10"/>
    <n v="1"/>
    <n v="0"/>
    <n v="0"/>
    <n v="0"/>
    <n v="0"/>
    <m/>
    <m/>
    <n v="0"/>
    <m/>
    <m/>
    <m/>
  </r>
  <r>
    <n v="143"/>
    <s v="7.35"/>
    <s v="Doptar o PNLT de um ponto focal de TBMR  "/>
    <x v="1"/>
    <x v="1"/>
    <n v="5"/>
    <x v="11"/>
    <m/>
    <s v="Capacidades de PNLT para gestão de  TB MR  reforçadas"/>
    <s v="PNLT"/>
    <x v="10"/>
    <n v="1"/>
    <n v="0"/>
    <n v="0"/>
    <n v="0"/>
    <n v="0"/>
    <n v="0"/>
    <n v="0"/>
    <n v="0"/>
    <n v="0"/>
    <n v="0"/>
    <m/>
  </r>
  <r>
    <n v="144"/>
    <s v="7.36"/>
    <s v="Reforçar a capacidade (formar e reciclar) dos quadros para a gestão de TBMR"/>
    <x v="1"/>
    <x v="1"/>
    <n v="5"/>
    <x v="11"/>
    <m/>
    <s v="Capacidades de PNLT para gestão de  TB MR  reforçadas"/>
    <s v="PNLT"/>
    <x v="10"/>
    <n v="1"/>
    <n v="0"/>
    <n v="0"/>
    <n v="0"/>
    <n v="0"/>
    <m/>
    <m/>
    <m/>
    <m/>
    <m/>
    <m/>
  </r>
  <r>
    <n v="145"/>
    <s v="7.37"/>
    <s v="Elaborar o plano nacional para controlo da infecção tuberculina em São Tomé e Príncipe até finais de 2015"/>
    <x v="1"/>
    <x v="1"/>
    <n v="5"/>
    <x v="11"/>
    <m/>
    <s v="Elaborar o plano nacional para o controlo da infecção tuberculosa em STP até final de 2015"/>
    <s v="PNLT"/>
    <x v="10"/>
    <n v="1"/>
    <n v="9538.8791176069535"/>
    <n v="0"/>
    <n v="0"/>
    <n v="9538.8791176069535"/>
    <m/>
    <m/>
    <n v="9538.8791176069535"/>
    <m/>
    <m/>
    <m/>
  </r>
  <r>
    <n v="146"/>
    <s v="7.38"/>
    <s v="Aquisiçãode meios de  protecção individual contra a infecção tuberculosa (máscaras respiradoras)"/>
    <x v="1"/>
    <x v="1"/>
    <n v="5"/>
    <x v="14"/>
    <m/>
    <s v="Capacidades de PNLT para gestão de  TB MR  reforçadas"/>
    <s v="PNUD"/>
    <x v="5"/>
    <n v="1"/>
    <n v="24500"/>
    <n v="24500"/>
    <n v="24500"/>
    <n v="73500"/>
    <n v="73500"/>
    <m/>
    <m/>
    <m/>
    <m/>
    <m/>
  </r>
  <r>
    <n v="147"/>
    <s v="7.39"/>
    <s v="Formar 150 profissionais de saúde no controlo da infecção  eTB MR nas unidades sanitárias"/>
    <x v="1"/>
    <x v="1"/>
    <n v="5"/>
    <x v="14"/>
    <m/>
    <s v="Capacidades de PNLT para gestão de  TB MR  reforçadas"/>
    <s v="ISVSM"/>
    <x v="10"/>
    <n v="1"/>
    <n v="33095.1"/>
    <n v="33095.1"/>
    <n v="0"/>
    <n v="66190.2"/>
    <n v="66190.2"/>
    <m/>
    <m/>
    <m/>
    <m/>
    <m/>
  </r>
  <r>
    <n v="148"/>
    <s v="7.40"/>
    <s v="Realizar um inquérito sobre a aplicação das normas internacionais de controlo da infecção TBMR "/>
    <x v="0"/>
    <x v="3"/>
    <n v="2"/>
    <x v="14"/>
    <m/>
    <s v="Capacidades de PNLT para gestão de  TB MR  reforçadas"/>
    <s v="PNLT"/>
    <x v="1"/>
    <n v="2"/>
    <n v="15000"/>
    <n v="0"/>
    <n v="0"/>
    <n v="15000"/>
    <m/>
    <m/>
    <m/>
    <m/>
    <m/>
    <m/>
  </r>
  <r>
    <n v="149"/>
    <s v="7.41"/>
    <s v="Elaborar e multiplicar os materiais de sensibilização dos membros da comunidade sob controlo da infecção"/>
    <x v="1"/>
    <x v="1"/>
    <n v="5"/>
    <x v="13"/>
    <m/>
    <s v="Capacidades de PNLT para gestão de  TB MR  reforçadas"/>
    <s v="PNLT"/>
    <x v="6"/>
    <n v="1"/>
    <n v="0"/>
    <n v="0"/>
    <n v="0"/>
    <n v="0"/>
    <n v="0"/>
    <m/>
    <m/>
    <m/>
    <m/>
    <m/>
  </r>
  <r>
    <n v="150"/>
    <s v="7.42"/>
    <s v="Realizar um estudo para a reabilitação/adaptação das infraestruturas de tratamento da TB. Segundo as normas internacionais de controlo da infecção"/>
    <x v="0"/>
    <x v="1"/>
    <n v="5"/>
    <x v="11"/>
    <m/>
    <s v="Capacidades de PNLT para gestão de  TB MR  reforçadas"/>
    <s v="PNLT"/>
    <x v="10"/>
    <n v="2"/>
    <n v="10583.9"/>
    <n v="0"/>
    <n v="0"/>
    <n v="10583.9"/>
    <m/>
    <m/>
    <m/>
    <m/>
    <m/>
    <m/>
  </r>
  <r>
    <n v="151"/>
    <s v="7.43"/>
    <s v="Elaborar as normas nacionais para construção de Insfrestruturas de saúde em STP, até final de 2014"/>
    <x v="1"/>
    <x v="1"/>
    <n v="5"/>
    <x v="11"/>
    <m/>
    <s v="Capacidades de PNLT para gestão de  TB MR  reforçadas"/>
    <s v="PNLT"/>
    <x v="4"/>
    <s v="Criar um grupo de trabalho"/>
    <n v="0"/>
    <n v="5857.5"/>
    <n v="0"/>
    <n v="5857.5"/>
    <m/>
    <m/>
    <n v="5857.5"/>
    <m/>
    <m/>
    <m/>
  </r>
  <r>
    <m/>
    <m/>
    <m/>
    <x v="3"/>
    <x v="5"/>
    <m/>
    <x v="15"/>
    <m/>
    <m/>
    <m/>
    <x v="2"/>
    <m/>
    <n v="1551665.0500698467"/>
    <n v="631420.94715539552"/>
    <n v="495569.84435871302"/>
    <n v="2678655.841583956"/>
    <n v="1385949.2233333329"/>
    <n v="609510.69999999995"/>
    <n v="20359.439117606955"/>
    <n v="26728"/>
    <n v="282980.55913301476"/>
    <n v="0"/>
  </r>
  <r>
    <m/>
    <m/>
    <m/>
    <x v="3"/>
    <x v="5"/>
    <m/>
    <x v="15"/>
    <m/>
    <m/>
    <m/>
    <x v="2"/>
    <m/>
    <m/>
    <m/>
    <m/>
    <m/>
    <n v="538360.74"/>
    <m/>
    <m/>
    <m/>
    <m/>
    <m/>
  </r>
  <r>
    <m/>
    <m/>
    <m/>
    <x v="3"/>
    <x v="5"/>
    <m/>
    <x v="15"/>
    <m/>
    <m/>
    <m/>
    <x v="2"/>
    <m/>
    <m/>
    <m/>
    <m/>
    <m/>
    <n v="1284521.5900000001"/>
    <m/>
    <m/>
    <m/>
    <m/>
    <m/>
  </r>
  <r>
    <m/>
    <m/>
    <m/>
    <x v="3"/>
    <x v="5"/>
    <m/>
    <x v="15"/>
    <m/>
    <m/>
    <m/>
    <x v="2"/>
    <m/>
    <m/>
    <m/>
    <m/>
    <m/>
    <n v="0.41911381185893493"/>
    <m/>
    <m/>
    <m/>
    <m/>
    <m/>
  </r>
  <r>
    <m/>
    <m/>
    <m/>
    <x v="3"/>
    <x v="5"/>
    <m/>
    <x v="15"/>
    <m/>
    <m/>
    <m/>
    <x v="2"/>
    <m/>
    <m/>
    <m/>
    <m/>
    <m/>
    <n v="436222.87"/>
    <m/>
    <m/>
    <m/>
    <m/>
    <m/>
  </r>
  <r>
    <m/>
    <m/>
    <m/>
    <x v="3"/>
    <x v="5"/>
    <m/>
    <x v="15"/>
    <m/>
    <m/>
    <m/>
    <x v="2"/>
    <m/>
    <m/>
    <m/>
    <m/>
    <m/>
    <n v="1284521.5900000001"/>
    <m/>
    <m/>
    <m/>
    <m/>
    <m/>
  </r>
  <r>
    <m/>
    <m/>
    <m/>
    <x v="3"/>
    <x v="5"/>
    <m/>
    <x v="15"/>
    <m/>
    <m/>
    <m/>
    <x v="2"/>
    <m/>
    <m/>
    <m/>
    <m/>
    <m/>
    <n v="0.33959948466105577"/>
    <m/>
    <m/>
    <m/>
    <m/>
    <m/>
  </r>
  <r>
    <m/>
    <m/>
    <m/>
    <x v="3"/>
    <x v="5"/>
    <m/>
    <x v="15"/>
    <m/>
    <m/>
    <m/>
    <x v="2"/>
    <m/>
    <m/>
    <m/>
    <m/>
    <m/>
    <n v="1352847.6433333328"/>
    <m/>
    <m/>
    <m/>
    <m/>
    <m/>
  </r>
</pivotCacheRecords>
</file>

<file path=xl/pivotCache/pivotCacheRecords5.xml><?xml version="1.0" encoding="utf-8"?>
<pivotCacheRecords xmlns="http://schemas.openxmlformats.org/spreadsheetml/2006/main" xmlns:r="http://schemas.openxmlformats.org/officeDocument/2006/relationships" count="155">
  <r>
    <n v="1"/>
    <s v="1.1.1"/>
    <s v="Elaborar e imprimir edivulgar plano de advocacia,  "/>
    <x v="0"/>
    <x v="0"/>
    <n v="1"/>
    <x v="0"/>
    <s v="Numero de documentos elaborados e disponíveis"/>
    <s v="As capacidades gestionárias do programa reforçadas"/>
    <s v="PNLT"/>
    <x v="0"/>
    <s v="Elaboração do plano de advocacia (assistência técnica Nacional). A actividade visa identificar, entre outros, eixos, natureza, metodologia, grupos alvo e a viabilização de um cronograma de acções susceptíveis de catalisar sinergias e engajamentos (decisores, financiadores e pessoal da saúde) na luta contra a TB. Esta ividade será realizada em 2015."/>
    <n v="7778.35"/>
    <n v="0"/>
    <n v="0"/>
    <n v="7778.35"/>
    <m/>
    <m/>
    <m/>
    <m/>
    <m/>
    <m/>
    <n v="7778.35"/>
  </r>
  <r>
    <n v="2"/>
    <s v="1.1.2"/>
    <s v="Elaborar/Rever e imprimir  plano anual operacional de implementação"/>
    <x v="1"/>
    <x v="0"/>
    <n v="1"/>
    <x v="0"/>
    <s v="Numero de documentos elaborados e disponíveis"/>
    <s v="As capacidades gestionárias do programa reforçadas"/>
    <s v="PNLT"/>
    <x v="0"/>
    <s v="Será criado um grupo de trabalho composto por 10 pessoas (equipa central mais elementos dos distritos) durante 10 dias. Também será necessária uma AT local. Esta actividade será realizada de 2015 a 2017, T4"/>
    <n v="6177.64"/>
    <n v="6177.64"/>
    <n v="6177.64"/>
    <n v="18532.920000000002"/>
    <n v="18532.920000000002"/>
    <m/>
    <m/>
    <m/>
    <m/>
    <m/>
    <m/>
  </r>
  <r>
    <n v="3"/>
    <s v="1.1.3"/>
    <s v="Elaborar  e imprimir  plano de mobilização da recurso"/>
    <x v="2"/>
    <x v="0"/>
    <n v="1"/>
    <x v="0"/>
    <s v="Numero de documentos elaborados e disponíveis"/>
    <s v="As capacidades gestionárias do programa reforçadas"/>
    <s v="PNLT"/>
    <x v="0"/>
    <s v="Elaboração de um plano mobilização de recursos  (grupo de trabalho de 10 pessoas x 5 dias). Atividade a ser realizada em 2015 e 2017"/>
    <n v="3315.83"/>
    <n v="0"/>
    <n v="3315.83"/>
    <n v="6631.66"/>
    <m/>
    <m/>
    <m/>
    <m/>
    <m/>
    <m/>
    <n v="6631.66"/>
  </r>
  <r>
    <n v="4"/>
    <s v="1.1.4"/>
    <s v="Elaborar  e imprimir  plano de formação"/>
    <x v="1"/>
    <x v="0"/>
    <n v="1"/>
    <x v="0"/>
    <s v="Numero de documentos elaborados e disponíveis"/>
    <s v="As capacidades gestionárias do programa reforçadas"/>
    <s v="ISVSM"/>
    <x v="0"/>
    <s v="Será criado um grupo de trabalho composto por 5 pessoas (ponto focal do ISVSM e equipa central) durante 3 dias.  Esta actividade será realizada de 2015 a 2017, T4"/>
    <n v="1905.11"/>
    <n v="1905.11"/>
    <n v="1905.11"/>
    <n v="5715.33"/>
    <n v="5715.33"/>
    <m/>
    <m/>
    <m/>
    <m/>
    <m/>
    <m/>
  </r>
  <r>
    <n v="5"/>
    <s v="1.1.5"/>
    <s v="Elaborar  e imprimir  plano TB MR"/>
    <x v="2"/>
    <x v="1"/>
    <n v="5"/>
    <x v="0"/>
    <s v="Numero de documentos elaborados e disponíveis"/>
    <s v="As capacidades gestionárias do programa reforçadas"/>
    <s v="PNLT"/>
    <x v="0"/>
    <s v="Será criado um grupo de trabalho composto por 10 pessoas (equipa central mais elementos dos distritos) durante 3 dias. Também será necessária uma AT local. Esta actividade será realizada de 2015 a 2017, T4"/>
    <n v="2951.1100000000006"/>
    <n v="2951.1100000000006"/>
    <n v="2951.1100000000006"/>
    <n v="8853.3300000000017"/>
    <n v="8853.3300000000017"/>
    <m/>
    <m/>
    <m/>
    <m/>
    <m/>
    <m/>
  </r>
  <r>
    <n v="6"/>
    <s v="1.1.6"/>
    <s v="Elaborar  e imprimir  manual de procedimento administrativo, "/>
    <x v="2"/>
    <x v="0"/>
    <n v="1"/>
    <x v="0"/>
    <s v="Numero de documentos elaborados e disponíveis"/>
    <s v="As capacidades gestionárias do programa reforçadas"/>
    <s v="PNUD"/>
    <x v="0"/>
    <s v="Actividade a ser realizada pelo sector Administrativo do PNLT em estreita colaboração com CNE e MSAS, no âmbito de um Atelier (3 dias). Para o efeito será criado um grupo de trabalho de 10 pessoas); o MSAS já dispõe de um documento suporte de reflexão"/>
    <n v="0"/>
    <n v="0"/>
    <n v="0"/>
    <n v="0"/>
    <m/>
    <m/>
    <m/>
    <m/>
    <m/>
    <m/>
    <n v="0"/>
  </r>
  <r>
    <n v="7"/>
    <s v="1.1.7"/>
    <s v="Elaborar  e imprimir  politica sobre a gestão de medicamentos, "/>
    <x v="0"/>
    <x v="0"/>
    <n v="1"/>
    <x v="0"/>
    <s v="Numero de documentos elaborados e disponíveis"/>
    <s v="As capacidades gestionárias do programa reforçadas"/>
    <s v="FNM"/>
    <x v="0"/>
    <s v="Actividade a ser implementada em consonância com o Plano Estratégico MEDICAMENTO; Assistência Técnica Nacional provavelmente necessária; trata-se de elaborar um documento guião com orientações claras sobre o conjunto de procedimento e sobretudo os intervenientes, entidades e responsabilidades da cadeia compra / transporte / armazenamento / conservação / distribuição / venda de medicamentos. Esta atividade está prevista para o ano 2015"/>
    <n v="4963.0599999999995"/>
    <n v="0"/>
    <n v="0"/>
    <n v="4963.0599999999995"/>
    <m/>
    <m/>
    <n v="4963.0599999999995"/>
    <m/>
    <m/>
    <m/>
    <m/>
  </r>
  <r>
    <n v="8"/>
    <s v="1.1.7.1"/>
    <s v="Multiplicar e disseminar 100 exemplares de modulo de formação em manejo de casos de TB"/>
    <x v="1"/>
    <x v="2"/>
    <n v="3"/>
    <x v="0"/>
    <m/>
    <s v="As capacidades gestionárias do programa reforçadas"/>
    <s v="ISVSM"/>
    <x v="0"/>
    <s v="Multiplicar e disseminar 100 exemplares de modulo de formação em manejo de casos de TB"/>
    <n v="582.78000000000009"/>
    <n v="0"/>
    <n v="0"/>
    <n v="582.78000000000009"/>
    <m/>
    <m/>
    <m/>
    <m/>
    <m/>
    <m/>
    <n v="582.78000000000009"/>
  </r>
  <r>
    <n v="9"/>
    <s v="1.1.8"/>
    <s v="Revisão  e impressãodo guia de supervisão) "/>
    <x v="1"/>
    <x v="3"/>
    <n v="2"/>
    <x v="0"/>
    <s v="Numero de documentos elaborados e disponíveis"/>
    <s v="As capacidades gestionárias do programa reforçadas"/>
    <s v="PNLT"/>
    <x v="1"/>
    <s v="Atelier de 3 dias de duração e com a participação de 15 pessoas (equipa central mais equipa distrital mais um elemento de BP). Esta actividade será realizada em 2016, T2"/>
    <n v="0"/>
    <n v="2058.5600000000004"/>
    <n v="0"/>
    <n v="2058.5600000000004"/>
    <n v="2058.5600000000004"/>
    <m/>
    <m/>
    <m/>
    <m/>
    <m/>
    <m/>
  </r>
  <r>
    <n v="10"/>
    <s v="1.1.9"/>
    <s v="Descrição de atribuições das vagas a criar (TDR)"/>
    <x v="2"/>
    <x v="0"/>
    <n v="1"/>
    <x v="0"/>
    <s v="Numero de documentos elaborados e disponíveis"/>
    <s v="As capacidades gestionárias do programa reforçadas"/>
    <s v="PNLT"/>
    <x v="0"/>
    <s v="Trata-se de elaboração de TDR para definição das Vagas; actividade a ser desenvolvida em 2 dias por um grupo de 10 pessoas"/>
    <n v="0"/>
    <n v="0"/>
    <n v="0"/>
    <n v="0"/>
    <m/>
    <m/>
    <m/>
    <m/>
    <n v="0"/>
    <m/>
    <m/>
  </r>
  <r>
    <n v="11"/>
    <s v="1.1.10"/>
    <s v="Criar e dotar vagas para o PNLT"/>
    <x v="1"/>
    <x v="0"/>
    <n v="1"/>
    <x v="0"/>
    <m/>
    <s v="As capacidades gestionárias do programa reforçadas"/>
    <s v="PNLT"/>
    <x v="2"/>
    <s v="Criar e dotar vagas para o PNLT"/>
    <m/>
    <m/>
    <m/>
    <n v="0"/>
    <n v="0"/>
    <n v="0"/>
    <n v="0"/>
    <n v="0"/>
    <n v="0"/>
    <m/>
    <n v="0"/>
  </r>
  <r>
    <n v="12"/>
    <s v="1.1.11"/>
    <s v="Atribuição da nova grelha salarial à equipa  PNLT"/>
    <x v="1"/>
    <x v="0"/>
    <n v="1"/>
    <x v="0"/>
    <m/>
    <s v="As capacidades gestionárias do programa reforçadas"/>
    <s v="PNLT"/>
    <x v="0"/>
    <s v="Salaries of PNLS staff members (monthly salary for 1 PNLS director=$650,1 Resp. Prev./Despstagem=595 ,1 Resp. Manejo caso=595 , 1 Resp. Apoio psicologico=595, 1 Administrative assistant=382.50 Visita domiciliar=382.50 , 1 Tecnico Laboratório=$382, Apoio social , 1 driver=$212.50); ACTUALIZAR OS POSTOS E OS MONTANTES"/>
    <n v="60330"/>
    <n v="60330"/>
    <n v="60330"/>
    <n v="180990"/>
    <n v="180990"/>
    <m/>
    <m/>
    <m/>
    <m/>
    <m/>
    <m/>
  </r>
  <r>
    <n v="13"/>
    <s v="1.1.12"/>
    <s v="Atelier de 3 dias para a Revisão do Guia de laboratório (10 participantes)"/>
    <x v="1"/>
    <x v="2"/>
    <n v="3"/>
    <x v="0"/>
    <m/>
    <s v="As capacidades gestionárias do programa reforçadas"/>
    <s v="PNLT"/>
    <x v="3"/>
    <s v="O Atelier terá uma duração de 3 dias e contará com a participação de 15 pessoas"/>
    <n v="0"/>
    <n v="0"/>
    <n v="0"/>
    <n v="0"/>
    <m/>
    <n v="0"/>
    <m/>
    <m/>
    <m/>
    <m/>
    <m/>
  </r>
  <r>
    <n v="14"/>
    <s v="1.2.1"/>
    <s v="Formação em Gestão do Programa 3 pessoas"/>
    <x v="1"/>
    <x v="0"/>
    <n v="1"/>
    <x v="0"/>
    <s v="Numero de pessoal formado"/>
    <s v="As capacidades gestionárias do programa reforçadas"/>
    <s v="PNLT"/>
    <x v="0"/>
    <s v="Formação de 3 técnicos de PNLT em Gestão do Programa  no exterior do país durante 3 semanas; 2015, T3"/>
    <n v="11876"/>
    <n v="0"/>
    <n v="0"/>
    <n v="11876"/>
    <n v="11876"/>
    <m/>
    <m/>
    <m/>
    <m/>
    <m/>
    <m/>
  </r>
  <r>
    <n v="15"/>
    <s v="1.2.2"/>
    <s v=" Formação em gestão da TB 15 pessoas"/>
    <x v="1"/>
    <x v="0"/>
    <n v="1"/>
    <x v="0"/>
    <s v="Numero de pessoal formado"/>
    <s v="As capacidades gestionárias do programa reforçadas"/>
    <s v="ISVSM"/>
    <x v="0"/>
    <s v="A formação contempla delegados e pontos focais (incluindo RAP) em gestão da TB e terá uma duração de  10 dias"/>
    <n v="0"/>
    <n v="0"/>
    <n v="0"/>
    <n v="0"/>
    <n v="0"/>
    <m/>
    <m/>
    <m/>
    <m/>
    <m/>
    <m/>
  </r>
  <r>
    <n v="16"/>
    <s v="1.2.3"/>
    <s v="Formação em saúde pública 2 pessoas"/>
    <x v="0"/>
    <x v="0"/>
    <n v="1"/>
    <x v="0"/>
    <s v="Numero de pessoal formado"/>
    <s v="As capacidades gestionárias do programa reforçadas"/>
    <s v="PNLT"/>
    <x v="4"/>
    <s v="A formação será realizada no exterior o país e concluída ao longo do ano 2014; está direccionada para 2 técnicos da Saúde. A ser realizada em 2015"/>
    <n v="60152"/>
    <n v="0"/>
    <n v="0"/>
    <n v="60152"/>
    <m/>
    <m/>
    <m/>
    <m/>
    <m/>
    <m/>
    <n v="60152"/>
  </r>
  <r>
    <n v="17"/>
    <s v="1.2.4"/>
    <s v="Formação em gestão administrativa 1 pessoa"/>
    <x v="1"/>
    <x v="0"/>
    <n v="1"/>
    <x v="0"/>
    <s v="Numero de pessoal formado"/>
    <s v="As capacidades gestionárias do programa reforçadas"/>
    <s v="PNLT"/>
    <x v="4"/>
    <s v="Formação no exterior o país e direccionada para 1 técnico em gestão administrativa. A ser realizada em 2015 e 2016"/>
    <n v="10376"/>
    <n v="0"/>
    <n v="0"/>
    <n v="10376"/>
    <m/>
    <m/>
    <m/>
    <m/>
    <m/>
    <m/>
    <n v="10376"/>
  </r>
  <r>
    <n v="18"/>
    <s v="1.2.5"/>
    <s v="Formação em Seguimento e avaliação 2 pessoas"/>
    <x v="1"/>
    <x v="3"/>
    <n v="2"/>
    <x v="1"/>
    <s v="Numero de pessoal formado"/>
    <s v="As capacidades gestionárias do programa reforçadas"/>
    <s v="PNLT"/>
    <x v="1"/>
    <s v="Formação no exterior o país e direccionada aos técnicos em  Seguimento e avaliação: 1 formação/ano a ser realizada em 2015 e 2016"/>
    <n v="38152"/>
    <n v="38152"/>
    <n v="0"/>
    <n v="76304"/>
    <m/>
    <m/>
    <m/>
    <m/>
    <m/>
    <m/>
    <n v="76304"/>
  </r>
  <r>
    <n v="19"/>
    <s v="1.2.6"/>
    <s v="Formar 2 pessoas (1 farmácia e 1 medico de programa) em gestão e aprovisionamento de medicamentos "/>
    <x v="1"/>
    <x v="2"/>
    <n v="3"/>
    <x v="2"/>
    <s v="Numero de pessoal formado"/>
    <s v="As capacidades gestionárias do programa reforçadas"/>
    <s v="PNLT"/>
    <x v="4"/>
    <s v="Formação no exterior o país e direccionada para 1 médico e 1 técnico de farmácia: dois formandos em 2015, T3"/>
    <n v="20752"/>
    <m/>
    <n v="0"/>
    <n v="20752"/>
    <n v="20752"/>
    <m/>
    <m/>
    <m/>
    <m/>
    <m/>
    <m/>
  </r>
  <r>
    <n v="20"/>
    <s v="1.2.7"/>
    <s v="Formar 12 Técnicos de Farmácia (6 CDT, 1 RAP, 3 HAM e 2 FNM) em gestão de medicamentos (1 sessão de 5 dias no Ano 1) "/>
    <x v="1"/>
    <x v="2"/>
    <n v="3"/>
    <x v="2"/>
    <s v="Numero de pessoal formado"/>
    <s v="As capacidades gestionárias do programa reforçadas"/>
    <s v="ISVSM"/>
    <x v="4"/>
    <s v="Formação interna (1 sessão de 5 dias) prevista para 2015, T4"/>
    <n v="4103.0599999999995"/>
    <n v="0"/>
    <n v="0"/>
    <n v="4103.0599999999995"/>
    <n v="4103.0599999999995"/>
    <m/>
    <m/>
    <m/>
    <m/>
    <m/>
    <m/>
  </r>
  <r>
    <n v="21"/>
    <s v="1.2.8"/>
    <s v="Reciclar 12 Técnicos de Farmácia (6 CDT, 1 RAP, 3 HAM e 2 FNM) em gestão de medicamentos (1 sessão de 5 dias no Ano 3) "/>
    <x v="0"/>
    <x v="0"/>
    <n v="1"/>
    <x v="2"/>
    <s v="Numero de pessoal formado"/>
    <s v="As capacidades gestionárias do programa reforçadas"/>
    <s v="ISVSM"/>
    <x v="4"/>
    <s v="Reciclar 12 Técnicos de Farmácia (6 CDT, 1 RAP, 3 HAM e 2 FNM) em gestão de medicamentos (1 sessão de 5 dias no Ano 3). A reciclagem está prevista para o 2º Trimestre de 2017"/>
    <m/>
    <m/>
    <n v="4103.0599999999995"/>
    <n v="4103.0599999999995"/>
    <m/>
    <m/>
    <m/>
    <m/>
    <m/>
    <m/>
    <n v="4103.0599999999995"/>
  </r>
  <r>
    <n v="22"/>
    <s v="1.3"/>
    <s v=" Advocacia para criar e dotar vagas para o PNLT (Um Director do programa médicos (2), enfermeira ( 1) seguimento  e avaliação, uma técnica de laboratório(1), um técnico de farmácia (1), secretaria (1),  técnico administrativo (1), motorista(1), assistente pedagógica até 2017"/>
    <x v="1"/>
    <x v="0"/>
    <n v="1"/>
    <x v="0"/>
    <s v="Numero de lugares criados dotados"/>
    <s v="As capacidades gestionárias do programa reforçadas"/>
    <s v="PNLT"/>
    <x v="0"/>
    <m/>
    <n v="0"/>
    <n v="0"/>
    <n v="0"/>
    <n v="0"/>
    <m/>
    <m/>
    <m/>
    <m/>
    <n v="0"/>
    <m/>
    <m/>
  </r>
  <r>
    <n v="23"/>
    <s v="1.4"/>
    <s v="Realizar Semestralmente e trimestralmente encontros de coordenação entre os diferentes parceiros "/>
    <x v="2"/>
    <x v="0"/>
    <n v="1"/>
    <x v="0"/>
    <s v="Numero de relatórios das reuniões disponíveis"/>
    <s v="As capacidades gestionárias do programa reforçadas"/>
    <s v="PNLT"/>
    <x v="0"/>
    <s v="Realizar Semestralmente encontros de coordenação entre os diferentes parceiros. Na prática esta actividade ocorrerá em 2 trimestres/ano, de 2015 à 2017; T1 e T3"/>
    <n v="366.67"/>
    <n v="366.67"/>
    <n v="366.67"/>
    <n v="1100.01"/>
    <n v="1100.01"/>
    <m/>
    <m/>
    <m/>
    <m/>
    <m/>
    <m/>
  </r>
  <r>
    <n v="24"/>
    <s v="1.4.1"/>
    <s v="Realizar trimestralmente encontros de coordenação entre os diferentes níveis"/>
    <x v="1"/>
    <x v="0"/>
    <n v="1"/>
    <x v="0"/>
    <m/>
    <s v="As capacidades gestionárias do programa reforçadas"/>
    <s v="PNLT"/>
    <x v="0"/>
    <s v="Realizar trimestralmente encontros de coordenação entre os diferentes níveis. Actividade contínua à partir do 2015-2017; todos os Trimestres"/>
    <n v="1450"/>
    <n v="1450"/>
    <n v="5426"/>
    <n v="8326"/>
    <n v="8326"/>
    <m/>
    <m/>
    <m/>
    <m/>
    <m/>
    <m/>
  </r>
  <r>
    <n v="25"/>
    <s v="1.5.1"/>
    <s v="Aquisição de materiais equipamento de escritório, e comunicação)"/>
    <x v="1"/>
    <x v="0"/>
    <n v="1"/>
    <x v="3"/>
    <s v="Numero de relatório técnicos e financeiros"/>
    <s v="As capacidades gestionárias do programa reforçadas"/>
    <s v="PNUD"/>
    <x v="0"/>
    <s v="Trata-se de assegurar  material e equipamentos nomeadamente os de comunicação e de escritório para o regular funcionamento do PNLT; 2015-2017 todos s trimestres."/>
    <n v="5904.7700000000013"/>
    <n v="5904.7700000000013"/>
    <n v="5904.7700000000013"/>
    <n v="17714.310000000005"/>
    <m/>
    <m/>
    <m/>
    <m/>
    <m/>
    <m/>
    <n v="17714.310000000005"/>
  </r>
  <r>
    <n v="26"/>
    <s v="1.5.2"/>
    <s v="Assegurar o funcionamento do PNLT"/>
    <x v="1"/>
    <x v="0"/>
    <n v="1"/>
    <x v="3"/>
    <m/>
    <s v="As capacidades gestionárias do programa reforçadas"/>
    <s v="PNLT"/>
    <x v="0"/>
    <s v="Actividade contínua à partir do T1 2015; trata-se muito particularmente de aquisição de combustível para funcionamento (administrativo) do PNLT"/>
    <n v="5074.08"/>
    <n v="5074.08"/>
    <n v="5074.08"/>
    <n v="15222.24"/>
    <n v="15222.24"/>
    <m/>
    <m/>
    <m/>
    <m/>
    <m/>
    <m/>
  </r>
  <r>
    <s v="26.1"/>
    <s v="1.5.2.1"/>
    <s v="Assegurar o funcionamento das Unidades Sanitárias no processo de descentralização da  estratégia DOT"/>
    <x v="1"/>
    <x v="0"/>
    <n v="1"/>
    <x v="3"/>
    <m/>
    <m/>
    <s v="PNLT"/>
    <x v="0"/>
    <m/>
    <n v="70573.580274461681"/>
    <n v="78101.305366506771"/>
    <n v="85911.435903157457"/>
    <n v="234586.32154412591"/>
    <m/>
    <m/>
    <m/>
    <m/>
    <n v="234586.32154412591"/>
    <m/>
    <m/>
  </r>
  <r>
    <n v="27"/>
    <s v="1.5.3"/>
    <s v="Assegurar o funcionamento do PNLT (Seguro de Transporte de PNLT)"/>
    <x v="1"/>
    <x v="0"/>
    <n v="1"/>
    <x v="3"/>
    <m/>
    <s v="As capacidades gestionárias do programa reforçadas"/>
    <s v="PNUD"/>
    <x v="0"/>
    <s v="Actividade da responsabilidade do sector administrativo-financeiro do programa. Seguro de transportes contra todos os riscos."/>
    <n v="6306.48"/>
    <n v="6306.48"/>
    <n v="6306.48"/>
    <n v="18919.439999999999"/>
    <n v="18919.439999999999"/>
    <m/>
    <m/>
    <m/>
    <m/>
    <m/>
    <m/>
  </r>
  <r>
    <n v="28"/>
    <s v="1.5.4"/>
    <s v="Assegurar o funcionamento do PNLT (Manutenção de viatura)"/>
    <x v="1"/>
    <x v="0"/>
    <n v="1"/>
    <x v="3"/>
    <m/>
    <s v="As capacidades gestionárias do programa reforçadas"/>
    <s v="PNUD"/>
    <x v="0"/>
    <s v="Actividade de rotina da responsabilidade do sector administrativo-financeiro do programa, manutanção/reparação de viaturas"/>
    <n v="8320"/>
    <n v="8320"/>
    <n v="8320"/>
    <n v="24960"/>
    <n v="24960"/>
    <m/>
    <m/>
    <m/>
    <m/>
    <m/>
    <m/>
  </r>
  <r>
    <n v="29"/>
    <s v="1.6.1"/>
    <s v="Aquisição de 1 viatura"/>
    <x v="1"/>
    <x v="3"/>
    <n v="2"/>
    <x v="3"/>
    <m/>
    <s v="As capacidades gestionárias do programa reforçadas"/>
    <s v="PNUD"/>
    <x v="1"/>
    <s v="A viatura prevista destina-se ao funcionamento do PNLT, com particular destaque para as actividades de Supervisão. 2015; T1"/>
    <n v="32240"/>
    <n v="0"/>
    <n v="0"/>
    <n v="32240"/>
    <n v="32240"/>
    <m/>
    <m/>
    <m/>
    <m/>
    <m/>
    <m/>
  </r>
  <r>
    <n v="30"/>
    <s v="1.6.2"/>
    <s v="Aquisição de 7 KIT informático"/>
    <x v="1"/>
    <x v="0"/>
    <n v="1"/>
    <x v="3"/>
    <m/>
    <s v="As capacidades gestionárias do programa reforçadas"/>
    <s v="PNUD"/>
    <x v="0"/>
    <s v="Aquisição de 7 KIT informático (Computador, impressora, UPS e fotocopiadora): 1 Kit para FNM e os outros 6 para PNLT"/>
    <n v="23611.11"/>
    <n v="0"/>
    <n v="0"/>
    <n v="23611.11"/>
    <n v="23611.11"/>
    <m/>
    <m/>
    <m/>
    <m/>
    <m/>
    <m/>
  </r>
  <r>
    <n v="31"/>
    <s v="1.6.3"/>
    <s v="Contratar uma empresa para assegurar a manutenção dos equipamentos (informático, frigoríficos, ar condicionados, a) contínuo durante 5 anos"/>
    <x v="0"/>
    <x v="0"/>
    <n v="1"/>
    <x v="3"/>
    <m/>
    <s v="As capacidades gestionárias do programa reforçadas"/>
    <s v="PNUD"/>
    <x v="0"/>
    <s v="Contratar uma empresa para assegurar a manutenção dos equipamentos (informático, frigoríficos, ar condicionados, a) contínuo durante 5 anos. AT Nacional necessária. Contrato  desde 1º Trim 2015"/>
    <n v="1284"/>
    <n v="1284"/>
    <n v="1284"/>
    <n v="3852"/>
    <m/>
    <m/>
    <m/>
    <m/>
    <m/>
    <m/>
    <n v="3852"/>
  </r>
  <r>
    <n v="32"/>
    <s v="1.6.4"/>
    <s v="Aquisição de 2 aparelho de medição da temperatura do ambiente – registo durante 24 horas"/>
    <x v="1"/>
    <x v="2"/>
    <n v="3"/>
    <x v="2"/>
    <m/>
    <s v="As capacidades gestionárias do programa reforçadas"/>
    <s v="PNUD"/>
    <x v="5"/>
    <s v="Adquirir 2 aparelho de medição da temperatura do ambiente – registo durante 24 horas (armazém de medicamentos), prevista para 2015, T1"/>
    <n v="7000"/>
    <n v="0"/>
    <n v="0"/>
    <n v="7000"/>
    <n v="7000"/>
    <m/>
    <m/>
    <m/>
    <m/>
    <m/>
    <m/>
  </r>
  <r>
    <n v="33"/>
    <s v="1.6.4.1"/>
    <s v="Assegurar o funcionamento do aparelho de medição da temperatura do ambiente – rolo de registo de oscilação "/>
    <x v="1"/>
    <x v="2"/>
    <n v="3"/>
    <x v="2"/>
    <m/>
    <s v="As capacidades gestionárias do programa reforçadas"/>
    <s v="PNUD"/>
    <x v="0"/>
    <s v="Assegurar o funcionamento do aparelho de medição da temperatura do ambiente; aquisição de rolo de registo de oscilação "/>
    <n v="5100"/>
    <m/>
    <n v="5100"/>
    <n v="10200"/>
    <n v="10200"/>
    <m/>
    <m/>
    <m/>
    <m/>
    <m/>
    <m/>
  </r>
  <r>
    <n v="34"/>
    <s v="1.6.4.2"/>
    <s v="Contratar uma empresa para assegurar a manutenção dos equipamentos (aparelho de medição de temperatura) contínuo durante 5 anos"/>
    <x v="1"/>
    <x v="2"/>
    <n v="3"/>
    <x v="2"/>
    <m/>
    <s v="As capacidades gestionárias do programa reforçadas"/>
    <s v="PNUD"/>
    <x v="0"/>
    <s v="Contratar uma empresa para assegurar a manutenção dos equipamentos (aparelho de medição de temperatura) contínuo durante 5 anos"/>
    <n v="700"/>
    <n v="700"/>
    <n v="700"/>
    <n v="2100"/>
    <n v="2100"/>
    <m/>
    <m/>
    <m/>
    <m/>
    <m/>
    <m/>
  </r>
  <r>
    <n v="35"/>
    <s v="1.6.5"/>
    <s v="Aquisição de 10 motorizada para distritos) até 2018"/>
    <x v="0"/>
    <x v="0"/>
    <n v="1"/>
    <x v="3"/>
    <m/>
    <s v="As capacidades gestionárias do programa reforçadas"/>
    <s v="PNUD"/>
    <x v="4"/>
    <s v=" Aquisição de motorizadas para os distritos no apoio ao DOT ao nível comunitário"/>
    <n v="0"/>
    <n v="0"/>
    <n v="0"/>
    <n v="0"/>
    <n v="0"/>
    <m/>
    <m/>
    <m/>
    <m/>
    <m/>
    <m/>
  </r>
  <r>
    <n v="36"/>
    <s v="1.7"/>
    <s v="Assistência Tecnica internacional para Criar um sistema de incentivos (individuais e colectivos, financeiros e não financeiros) baseados no desempenho"/>
    <x v="2"/>
    <x v="0"/>
    <n v="1"/>
    <x v="0"/>
    <m/>
    <s v="As capacidades gestionárias do programa reforçadas"/>
    <s v="PNLT"/>
    <x v="0"/>
    <s v="Criar um sistema de incentivos (individuais e colectivos, financeiros e não financeiros) baseados no desempenho"/>
    <n v="16825"/>
    <n v="0"/>
    <n v="0"/>
    <n v="16825"/>
    <m/>
    <m/>
    <m/>
    <m/>
    <m/>
    <m/>
    <n v="16825"/>
  </r>
  <r>
    <n v="37"/>
    <s v="1.8"/>
    <s v="Realizar  Supervisão de gestão de medicamentos (RAP semestralmente)"/>
    <x v="1"/>
    <x v="3"/>
    <n v="2"/>
    <x v="0"/>
    <s v="Numero de supervisões realizadas"/>
    <s v="As capacidades gestionárias do programa reforçadas"/>
    <s v="FNM"/>
    <x v="1"/>
    <s v="Destinada-se, entre outros,  a se assegurar do regular funcionamento da cadeia  compra / transporte / armazenamento / conservação / distribuição / venda de medicamentos; custo anual = USD 2.314"/>
    <n v="2313.6899999999996"/>
    <n v="2313.6899999999996"/>
    <n v="2313.6899999999996"/>
    <n v="6941.0699999999988"/>
    <n v="6941.0699999999988"/>
    <m/>
    <m/>
    <m/>
    <m/>
    <m/>
    <m/>
  </r>
  <r>
    <n v="38"/>
    <s v="1.9"/>
    <s v="Aquisição de Combustível para transporte (distribuição de medicamentos) e gerador (50 Lt por mês para Gerador) durante 5 anos"/>
    <x v="1"/>
    <x v="2"/>
    <n v="3"/>
    <x v="3"/>
    <m/>
    <s v="As capacidades gestionárias do programa reforçadas"/>
    <s v="FNM"/>
    <x v="0"/>
    <s v="Trata-se de aquisição de Combustível para transporte (distribuição de medicamentos) e gerador (50 Lt por mês para Gerador) durante 5 anos"/>
    <n v="1713.6"/>
    <n v="1713.6"/>
    <n v="1713.6"/>
    <n v="5140.7999999999993"/>
    <n v="5140.7999999999993"/>
    <m/>
    <m/>
    <m/>
    <m/>
    <m/>
    <m/>
  </r>
  <r>
    <n v="39"/>
    <s v="1.10"/>
    <s v="Assegurar envio de medicamentos e outros consumíveis para RAP"/>
    <x v="1"/>
    <x v="2"/>
    <n v="3"/>
    <x v="3"/>
    <m/>
    <s v="As capacidades gestionárias do programa reforçadas"/>
    <s v="PNLT"/>
    <x v="0"/>
    <s v="Envio de medicamentos e outros consumíveis para Região Autonoma dp Príncipe"/>
    <n v="400"/>
    <n v="400"/>
    <n v="400"/>
    <n v="1200"/>
    <m/>
    <m/>
    <m/>
    <m/>
    <n v="1200"/>
    <m/>
    <m/>
  </r>
  <r>
    <n v="40"/>
    <s v="1.11"/>
    <s v="Adquirir/adaptar base de dado para gestão de stok dos medicamentos (FNM)"/>
    <x v="1"/>
    <x v="0"/>
    <n v="1"/>
    <x v="3"/>
    <m/>
    <s v="As capacidades gestionárias do programa reforçadas"/>
    <s v="FNM"/>
    <x v="4"/>
    <s v="O software a ser adquirido deverá ser parametrizado e adaptado as exigências do país em matéria de gestão de medicamentos; 2015, T2"/>
    <n v="16084"/>
    <n v="0"/>
    <n v="0"/>
    <n v="16084"/>
    <n v="16084"/>
    <m/>
    <m/>
    <m/>
    <m/>
    <m/>
    <m/>
  </r>
  <r>
    <n v="41"/>
    <s v="1.12"/>
    <s v="Formação em utilização do softwer para gestão de stok dos medicamentos (FNM)"/>
    <x v="1"/>
    <x v="0"/>
    <n v="1"/>
    <x v="3"/>
    <m/>
    <s v="As capacidades gestionárias do programa reforçadas"/>
    <s v="ISVSM"/>
    <x v="4"/>
    <s v="Trata-se muito particularmente de formação  de formadores que,  nos anos seguintes, assegurarão as formações práticas sobre a utilização do software para gestão do stock dos medicamentos"/>
    <n v="5748.5"/>
    <n v="0"/>
    <n v="5748.5"/>
    <n v="11497"/>
    <n v="11497"/>
    <m/>
    <m/>
    <m/>
    <m/>
    <m/>
    <m/>
  </r>
  <r>
    <n v="42"/>
    <s v="1.13"/>
    <s v="Formar 15 técnicos na instalação de uma base de dados (SPSS) da TB, 1 sessão de 5 dias."/>
    <x v="2"/>
    <x v="0"/>
    <n v="1"/>
    <x v="0"/>
    <m/>
    <s v="As capacidades gestionárias do programa reforçadas"/>
    <s v="ISVSM"/>
    <x v="1"/>
    <s v="Uma sessão única de formação, a ser desenvolvida em 5 dias e destinada à 15 técnicos envolvidos no registo/tratamento/análise de dados da TB, consolidados numa base de dados SPSS"/>
    <n v="4411.3900000000003"/>
    <n v="0"/>
    <n v="0"/>
    <n v="4411.3900000000003"/>
    <m/>
    <m/>
    <m/>
    <m/>
    <m/>
    <m/>
    <n v="4411.3900000000003"/>
  </r>
  <r>
    <n v="43"/>
    <s v="2.1"/>
    <s v="Recrutar e afectar 1 técnico de Seguimento e Avaliação do PNLT"/>
    <x v="1"/>
    <x v="3"/>
    <n v="2"/>
    <x v="1"/>
    <s v="Técnico recrutado"/>
    <s v="Sistema de seguimento e avaliação do Programa fortalecido"/>
    <s v="PNLT"/>
    <x v="1"/>
    <s v="Recrutar  e afetar1 técnico de Seguimento e Avaliação do PNLT"/>
    <m/>
    <m/>
    <m/>
    <n v="0"/>
    <n v="0"/>
    <m/>
    <m/>
    <m/>
    <m/>
    <m/>
    <m/>
  </r>
  <r>
    <n v="44"/>
    <s v="2.2"/>
    <s v="Organizar atelier de 5 dias para actualizar e validação o plano de seguimento e avaliação e instrumento de colheita dos dados"/>
    <x v="1"/>
    <x v="3"/>
    <n v="2"/>
    <x v="1"/>
    <s v="Plano S&amp;A actualizado e disponivel"/>
    <s v="Sistema de seguimento e avaliação do Programa fortalecido"/>
    <s v="PNLT"/>
    <x v="1"/>
    <s v="Actividade da responsabilidade da Unidade de Seguimento e Avaliação e destinada a actualização dos instrumentos de recolha de dados bem como a operacionalização do Plano S&amp;A."/>
    <n v="0"/>
    <n v="0"/>
    <n v="0"/>
    <n v="0"/>
    <n v="0"/>
    <m/>
    <m/>
    <m/>
    <m/>
    <m/>
    <m/>
  </r>
  <r>
    <n v="45"/>
    <s v="2.2.1"/>
    <s v="Organizar um atelier de 5 jours para avaliação do cumprimento do plano de seguimento e avaliação"/>
    <x v="1"/>
    <x v="3"/>
    <n v="2"/>
    <x v="1"/>
    <m/>
    <s v="Sistema de seguimento e avaliação do Programa fortalecido"/>
    <s v="PNLT"/>
    <x v="1"/>
    <s v="O atelier visa promover um debate/reflexão sobre o cumprimento do programado no Plano S&amp;A e pela mesma ocasião propor alternativas aos eventuais desajustamentos evidenciados."/>
    <m/>
    <n v="3356.39"/>
    <n v="0"/>
    <n v="3356.39"/>
    <n v="3356.39"/>
    <m/>
    <m/>
    <m/>
    <m/>
    <m/>
    <m/>
  </r>
  <r>
    <n v="46"/>
    <s v="2.3"/>
    <s v="Implementar o plano de seguimento e avaliação"/>
    <x v="1"/>
    <x v="3"/>
    <n v="2"/>
    <x v="1"/>
    <m/>
    <s v="Sistema de seguimento e avaliação do Programa fortalecido"/>
    <s v="PNLT"/>
    <x v="1"/>
    <m/>
    <n v="0"/>
    <n v="0"/>
    <n v="0"/>
    <n v="0"/>
    <n v="0"/>
    <n v="0"/>
    <n v="0"/>
    <n v="0"/>
    <n v="0"/>
    <m/>
    <n v="0"/>
  </r>
  <r>
    <n v="47"/>
    <s v="2.4"/>
    <s v="Implementar o sistema de registo electrónico de dados TB "/>
    <x v="0"/>
    <x v="3"/>
    <n v="2"/>
    <x v="1"/>
    <s v="Sistema de registro electrónico funcional"/>
    <s v="Sistema de seguimento e avaliação do Programa fortalecido"/>
    <s v="PNLT"/>
    <x v="1"/>
    <s v="Implementar o sistema de registo electrónico de dados TB. Actividade a ser implementada com  apoio da OMS, parceiro junto ao qual já foram encetados contactos para o efeitos"/>
    <n v="0"/>
    <n v="0"/>
    <n v="0"/>
    <n v="0"/>
    <m/>
    <m/>
    <n v="0"/>
    <m/>
    <m/>
    <m/>
    <m/>
  </r>
  <r>
    <n v="48"/>
    <s v="2.5"/>
    <s v="Produção e difusão de relatórios trimestrais "/>
    <x v="2"/>
    <x v="3"/>
    <n v="2"/>
    <x v="1"/>
    <s v="relatorios produzidos e difundidos"/>
    <s v="Sistema de seguimento e avaliação do Programa fortalecido"/>
    <s v="PNLT"/>
    <x v="1"/>
    <s v=" Produção e difusão de relatórios trimestrais"/>
    <n v="1593.33"/>
    <n v="1593.33"/>
    <n v="1593.33"/>
    <n v="4779.99"/>
    <n v="4779.99"/>
    <m/>
    <m/>
    <m/>
    <m/>
    <m/>
    <m/>
  </r>
  <r>
    <n v="49"/>
    <s v="2.6"/>
    <s v="Organizar a avaliação (interna e externa) do plano estratégico  "/>
    <x v="1"/>
    <x v="3"/>
    <n v="2"/>
    <x v="1"/>
    <s v="Relatorio da avaliação disponível)"/>
    <s v="Sistema de seguimento e avaliação do Programa fortalecido"/>
    <s v="PNLT"/>
    <x v="1"/>
    <s v=" Organizar a avaliação externa do plano estratégico. AT  Internacional necessária; Actividade com forte pendor de uma Avaliação do Meio-Percurso, a ser realizada no 1º trimestre de 2016. Haverá um atelier de apresentação desta avaliação"/>
    <m/>
    <n v="20261.940000000002"/>
    <n v="0"/>
    <n v="20261.940000000002"/>
    <n v="20261.940000000002"/>
    <m/>
    <m/>
    <m/>
    <m/>
    <m/>
    <m/>
  </r>
  <r>
    <n v="50"/>
    <s v="2.7"/>
    <s v="Atelie de 5 dias com 10 técnicos estatísticos para preenchimento das fichas e livro de registo"/>
    <x v="2"/>
    <x v="3"/>
    <n v="2"/>
    <x v="1"/>
    <s v="Relatorio do atiliê"/>
    <s v="Sistema de seguimento e avaliação do Programa fortalecido"/>
    <s v="PNLT"/>
    <x v="1"/>
    <s v="Atelie de 5 dias com 10 técnicos estatísticos por ano para preenchimento das fichas e livro de registo. É de capital importância que o domínio do preenchimento das fichas seja dado adquirido o mais tarde em 2014, para que o processo recolha/registo - tratamento/analise -produção/difusão dos dados da TB alcance o sucesso desejado."/>
    <n v="3141.11"/>
    <m/>
    <n v="3141.11"/>
    <n v="6282.22"/>
    <n v="6282.22"/>
    <m/>
    <m/>
    <m/>
    <m/>
    <m/>
    <m/>
  </r>
  <r>
    <n v="51"/>
    <s v="2.8"/>
    <s v="Organizar encontro para restituição dos dados"/>
    <x v="2"/>
    <x v="3"/>
    <n v="2"/>
    <x v="1"/>
    <s v="Dados restituidos"/>
    <s v="Sistema de seguimento e avaliação do Programa fortalecido"/>
    <s v="PNLT"/>
    <x v="1"/>
    <s v="Trata-se de encontros anuais (T1 de cada ano) realizados sobretudo com os intervenientes directos na execução do PNLT e destinado a apresentação/divulgação dos resultados obtidos no âmbito das acções e intervenções do Programa; custo anual = USD 375"/>
    <n v="374.67"/>
    <n v="374.67"/>
    <n v="374.67"/>
    <n v="1124.01"/>
    <n v="1124.01"/>
    <m/>
    <m/>
    <m/>
    <m/>
    <m/>
    <m/>
  </r>
  <r>
    <n v="52"/>
    <s v="3.1"/>
    <s v="Elaborar e reproduzir Kit de Comunicação com mensagens chaves de TB (folhetos, cartazes, bandeirolas, painel gigante e álbum seriado)(colocar antes das palestras)"/>
    <x v="1"/>
    <x v="2"/>
    <n v="3"/>
    <x v="4"/>
    <s v="Número de KIT elaborados e disponíveis"/>
    <s v="Conhecimento da população sobre a TB melhorado"/>
    <s v="CNES"/>
    <x v="6"/>
    <s v="Elaborar Kit de Comunicação com mensagens chaves de TB. Prevê-se a elaboração nomeadamente de folhetos, cartazes, bandeirolas, painel gigante, álbum seriado, camisolas, bonés, dísticos e vídeos, considerados de mensagens chaves na Comunicação/Sensibilização a TB"/>
    <n v="3722.2200000000003"/>
    <n v="3722.2200000000003"/>
    <n v="3722.2200000000003"/>
    <n v="11166.66"/>
    <n v="11166.66"/>
    <m/>
    <m/>
    <m/>
    <m/>
    <m/>
    <m/>
  </r>
  <r>
    <n v="53"/>
    <s v="3.2"/>
    <s v="Elaborar/adaptar e difundir Spot televisivo e radiofónico"/>
    <x v="1"/>
    <x v="2"/>
    <n v="3"/>
    <x v="4"/>
    <s v="Numero de SPOT elaborados e difundidos"/>
    <s v="Conhecimento da população sobre a TB melhorado"/>
    <s v="CNES"/>
    <x v="6"/>
    <s v="Elaborar/adaptar e difundir Spot televisivo, radiofónico e Jornal. Actividade contínua destinada a Comunicação/Sensibilização a TB, a ser realizada semestralmente; 2015-2017, 2º e 3º Trimestre de cada ano."/>
    <n v="3722.2200000000003"/>
    <n v="3722.2200000000003"/>
    <n v="3722.2200000000003"/>
    <n v="11166.66"/>
    <n v="11166.66"/>
    <m/>
    <m/>
    <m/>
    <m/>
    <m/>
    <m/>
  </r>
  <r>
    <n v="54"/>
    <s v="3.3"/>
    <s v="Realizar um Inquérito CAP"/>
    <x v="0"/>
    <x v="3"/>
    <n v="2"/>
    <x v="5"/>
    <s v="Relatorio de CAP disponível"/>
    <s v="Conhecimento da população sobre a TB melhorado"/>
    <s v="PNLT"/>
    <x v="1"/>
    <s v="AT Nacional ou Internacional, necessária; actividade abrangente visando nomeadamente avaliar os conhecimentos, atitudes e práticas das populações em matéria de manifestação, prevenção e tratamento não só da TB, TB/MR como também da sua associação à outras patologias (HIV, por exemplo)"/>
    <m/>
    <n v="22000"/>
    <n v="0"/>
    <n v="22000"/>
    <n v="22000"/>
    <m/>
    <m/>
    <m/>
    <m/>
    <m/>
    <m/>
  </r>
  <r>
    <s v="54.1"/>
    <s v="3.3.1"/>
    <s v="Realizar um Estudo sobre a mortalidade por TB"/>
    <x v="1"/>
    <x v="3"/>
    <n v="2"/>
    <x v="5"/>
    <m/>
    <m/>
    <s v="PNLT"/>
    <x v="1"/>
    <s v="AT Nacional ou Internacional, necessária; actividade abrangente visando nomeadamente avaliar os conhecimentos, atitudes e práticas das populações em matéria de manifestação, prevenção e tratamento não só da TB, TB/MR como também da sua associação à outras patologias (HIV, por exemplo)"/>
    <n v="11000"/>
    <m/>
    <m/>
    <n v="11000"/>
    <n v="11000"/>
    <m/>
    <m/>
    <m/>
    <m/>
    <m/>
    <m/>
  </r>
  <r>
    <n v="54.2"/>
    <s v="3.3.2"/>
    <s v="Realizar um Estudo sobre a Co-infecção TB/VIH"/>
    <x v="1"/>
    <x v="3"/>
    <n v="2"/>
    <x v="5"/>
    <m/>
    <m/>
    <s v="PNLT"/>
    <x v="1"/>
    <s v="AT Nacional ou Internacional, necessária; actividade abrangente visando nomeadamente avaliar os conhecimentos, atitudes e práticas das populações em matéria de manifestação, prevenção e tratamento não só da TB, TB/MR como também da sua associação à outras patologias (HIV, por exemplo)"/>
    <m/>
    <n v="11000"/>
    <m/>
    <n v="11000"/>
    <n v="11000"/>
    <m/>
    <m/>
    <m/>
    <m/>
    <m/>
    <m/>
  </r>
  <r>
    <n v="55"/>
    <s v="3.4"/>
    <s v="Organizar sessões de advocacia junto aos decisores políticos e parceiros."/>
    <x v="0"/>
    <x v="0"/>
    <n v="1"/>
    <x v="0"/>
    <s v=" Numero Decisores e parceiros colaborando nas actividades de luta contra a tuberculose"/>
    <s v="Conhecimento da população sobre a TB melhorado"/>
    <s v="PNLT"/>
    <x v="0"/>
    <s v=" Sessões de advocacia junto aos decisores políticos e parceiros. A actividade visa  catalisar sinergias e engajamentos dos decisores políticos e parceiros na luta contra a TB, de um modo geral"/>
    <n v="92.829999999999984"/>
    <n v="92.829999999999984"/>
    <n v="92.829999999999984"/>
    <n v="278.48999999999995"/>
    <m/>
    <m/>
    <m/>
    <m/>
    <n v="278.48999999999995"/>
    <m/>
    <m/>
  </r>
  <r>
    <n v="56"/>
    <s v="3.5"/>
    <s v="Formar (100) ASC e activistas (em gestão das actividades comunitária/sensibilização sobre TB)."/>
    <x v="1"/>
    <x v="2"/>
    <n v="3"/>
    <x v="6"/>
    <s v="Numero de pessoal formados"/>
    <s v="Conhecimento da população sobre a TB melhorado"/>
    <s v="Zatona Adil"/>
    <x v="6"/>
    <s v="Formar 105 ASC em gestão comunitária/sensibilização sobre TB  (TB/HIV; TB/MR)- (5 Dias, em 4 sessões de 26 participantes cada, sendo 1 sessão de 26 na RAP, ano 1). Prevê-se a formação de 100 ASC e activistas em gestão comunitária/sensibilização sobre TB, TB/HIV, TB/MR.; haverá para o efeito  4 sessões de  formação, sendo cada uma de uma duração de 5 dias com  26 participantes; uma das sessões será realizada  na RAP"/>
    <n v="0"/>
    <n v="0"/>
    <n v="0"/>
    <n v="0"/>
    <n v="0"/>
    <m/>
    <m/>
    <m/>
    <m/>
    <m/>
    <m/>
  </r>
  <r>
    <n v="57"/>
    <s v="3.5.1"/>
    <s v="Reciclar (100) ASC e activistas (em gestão das actividades comunitária/sensibilização sobre TB)."/>
    <x v="0"/>
    <x v="2"/>
    <n v="3"/>
    <x v="6"/>
    <m/>
    <s v="Conhecimento da população sobre a TB melhorado"/>
    <s v="Zatona Adil"/>
    <x v="6"/>
    <s v="Reciclar 105 ASC em gestão comunitária/sensibilização sobre TB  (TB/HIV; TB/MR)- (5 Dias, em 4 sessões de 26 participantes cada, sendo 1 sessão de 26 na RAP, ano 2015)"/>
    <n v="19562.87"/>
    <n v="0"/>
    <n v="0"/>
    <n v="19562.87"/>
    <m/>
    <m/>
    <m/>
    <m/>
    <m/>
    <m/>
    <n v="19562.87"/>
  </r>
  <r>
    <n v="58"/>
    <s v="3.6"/>
    <s v="Realizar palestras de sensibilização ( na escola, igrejas, prisão, quartel militar, Jornalistas e nas comunidades)"/>
    <x v="1"/>
    <x v="2"/>
    <n v="3"/>
    <x v="4"/>
    <s v="Numero de palestras realizadas"/>
    <s v="Conhecimento da população sobre a TB melhorado"/>
    <s v="Zatona Adil"/>
    <x v="6"/>
    <s v="Realizar palestras de sensibilização nas escolas (duas para cada distrito por ano). Prevê-se a realização anual de 2 palestras em cada distrito e para cada caso. Actividade contínua à partir do T2 2015;"/>
    <n v="18499.990000000002"/>
    <n v="18499.990000000002"/>
    <n v="18499.990000000002"/>
    <n v="55499.97"/>
    <n v="55499.97"/>
    <m/>
    <m/>
    <m/>
    <m/>
    <m/>
    <m/>
  </r>
  <r>
    <n v="59"/>
    <s v="3.7"/>
    <s v="Organização do dia Mundial de Luta contra TB"/>
    <x v="0"/>
    <x v="2"/>
    <n v="3"/>
    <x v="4"/>
    <s v="Relatório disponível"/>
    <s v="Conhecimento da população sobre a TB melhorado"/>
    <s v="PNLT"/>
    <x v="6"/>
    <s v="Actividade anual a ocorrer no 1º trimestre; de cada ano"/>
    <n v="11333.33"/>
    <n v="11333.33"/>
    <n v="11333.33"/>
    <n v="33999.99"/>
    <n v="33999.99"/>
    <m/>
    <m/>
    <m/>
    <m/>
    <m/>
    <m/>
  </r>
  <r>
    <n v="60"/>
    <s v="3.8"/>
    <s v="Formar 30 Jornalistas (rádio, televisão, jornal), 3 dias, Ano 1 "/>
    <x v="0"/>
    <x v="2"/>
    <n v="3"/>
    <x v="4"/>
    <m/>
    <s v="Conhecimento da população sobre a TB melhorado"/>
    <s v="ISVSM"/>
    <x v="6"/>
    <s v="Esta actividade visa um maior envolvimento de entidades e individualidades dos órgãos de comunicação social na luta contra a TB; a formação prevista será realizada no 2º trimestre de 2014 durante 3 dias "/>
    <n v="0"/>
    <n v="0"/>
    <n v="0"/>
    <n v="0"/>
    <n v="0"/>
    <m/>
    <m/>
    <m/>
    <m/>
    <m/>
    <m/>
  </r>
  <r>
    <n v="61"/>
    <s v="3.9"/>
    <s v="Reciclar 30 Jornalistas (rádio, televisão, jornal), 3 dias, Ano 2"/>
    <x v="0"/>
    <x v="2"/>
    <n v="3"/>
    <x v="4"/>
    <m/>
    <s v="Conhecimento da população sobre a TB melhorado"/>
    <s v="ISVSM"/>
    <x v="6"/>
    <s v="Os Formados na actividade anterior (3.8)  serão reciclados dois anos mais tarde"/>
    <m/>
    <n v="5187.92"/>
    <n v="0"/>
    <n v="5187.92"/>
    <m/>
    <m/>
    <m/>
    <m/>
    <m/>
    <m/>
    <n v="5187.92"/>
  </r>
  <r>
    <n v="62"/>
    <s v="4.1"/>
    <s v="Rehabilitar/adaptação de 6 laboratórios  "/>
    <x v="2"/>
    <x v="2"/>
    <n v="3"/>
    <x v="7"/>
    <s v="Numero de laboratórios reabilitados/adapatados"/>
    <s v="Casos de tuberculose diagnosticados"/>
    <s v="PNUD"/>
    <x v="4"/>
    <s v="Não obstante o seu carácter prioritário esta actividade, que tem enquadramento no OGE, será realizada/concluída em T2 - 2015"/>
    <n v="4500"/>
    <n v="0"/>
    <n v="0"/>
    <n v="4500"/>
    <n v="4500"/>
    <m/>
    <m/>
    <m/>
    <m/>
    <m/>
    <m/>
  </r>
  <r>
    <n v="63"/>
    <s v="4.2"/>
    <s v="Equipar os laboratórios( microscópios, bico de busen...)"/>
    <x v="1"/>
    <x v="2"/>
    <n v="3"/>
    <x v="7"/>
    <s v="Numero de laboratorios equipados"/>
    <s v="Casos de tuberculose diagnosticados"/>
    <s v="PNUD"/>
    <x v="4"/>
    <s v="Actividade com arranque previsto para  T1 ano 2016 e T2 ano 2017. A  sua implementação está, em parte, condicionada à conclusão do laboratório (código 7. 5)"/>
    <n v="13953"/>
    <n v="0"/>
    <n v="13953"/>
    <n v="27906"/>
    <n v="27906"/>
    <m/>
    <m/>
    <m/>
    <m/>
    <m/>
    <m/>
  </r>
  <r>
    <n v="64"/>
    <s v="4.3"/>
    <s v="Aprovisionar as estruturas em consumíveis de laboratório (laminas, luvas, embaços, reagentes, mala térmica, palitos…) "/>
    <x v="1"/>
    <x v="2"/>
    <n v="3"/>
    <x v="7"/>
    <s v="Numero de dias de rutura de Stoks"/>
    <s v="Casos de tuberculose diagnosticados"/>
    <s v="PNUD"/>
    <x v="5"/>
    <s v="Aquisição de reagentes e consumíveis de laboratório para os 7 CDT e HAM durante 5 anos "/>
    <n v="18372"/>
    <n v="18372"/>
    <n v="18372"/>
    <n v="55116"/>
    <n v="55116"/>
    <m/>
    <m/>
    <m/>
    <m/>
    <m/>
    <m/>
  </r>
  <r>
    <n v="65"/>
    <s v="4.4.1"/>
    <s v="Assegurar o controlo de qualidade externo supranacional"/>
    <x v="1"/>
    <x v="2"/>
    <n v="3"/>
    <x v="7"/>
    <s v="Numero de laboaratorio que interveem no controlo de qualidade"/>
    <s v="Casos de tuberculose diagnosticados"/>
    <s v="PNUD"/>
    <x v="3"/>
    <s v="Destina-se a assegurar o controlo de qualidade externo supranacional; actividade anual previstos para os anos 2015 e 2016; tudo "/>
    <n v="5701.36"/>
    <n v="5701.36"/>
    <n v="5701.36"/>
    <n v="17104.079999999998"/>
    <n v="17104.079999999998"/>
    <m/>
    <m/>
    <m/>
    <m/>
    <m/>
    <m/>
  </r>
  <r>
    <n v="66"/>
    <s v="4.4.1.1"/>
    <s v="Assistencia Técnica parao o controlo de qualidade externo supranacional"/>
    <x v="1"/>
    <x v="2"/>
    <n v="3"/>
    <x v="7"/>
    <m/>
    <s v="Casos de tuberculose diagnosticados"/>
    <s v="PNUD"/>
    <x v="3"/>
    <s v="Há necessidade de uma ATI; actividade prevista para os anos 2015, 2016 e 207"/>
    <n v="7701.97"/>
    <n v="7701.97"/>
    <n v="7701.97"/>
    <n v="23105.91"/>
    <n v="23105.91"/>
    <m/>
    <m/>
    <m/>
    <m/>
    <m/>
    <m/>
  </r>
  <r>
    <n v="67"/>
    <s v="4.4.2"/>
    <s v="Realizar controlo de qualidade das lâminas no laboratório nacional de referência, trimestralmente durante 5 anos"/>
    <x v="1"/>
    <x v="2"/>
    <n v="3"/>
    <x v="7"/>
    <s v="Numero de laboaratorio que interveem no controlo de qualidade "/>
    <s v="Casos de tuberculose diagnosticados"/>
    <s v="PNLT"/>
    <x v="3"/>
    <s v="Realizar controlo de qualidade das lâminas no laboratório nacional de referência, trimestralmente durante 5 anos."/>
    <n v="7592.33"/>
    <n v="7592.33"/>
    <n v="7592.33"/>
    <n v="22776.989999999998"/>
    <n v="22776.989999999998"/>
    <m/>
    <m/>
    <m/>
    <m/>
    <m/>
    <m/>
  </r>
  <r>
    <n v="68"/>
    <s v="4.7.1"/>
    <s v="Formar 25 Técnicos de Laboratórios (14 CDT, Incluindo 2 RAP, 6 HAM e 3 LNR) realização de Baciloscopia e controlo de qualidade (CQ) (1 sessão de 5 dias no Ano 1)"/>
    <x v="0"/>
    <x v="2"/>
    <n v="3"/>
    <x v="7"/>
    <s v="Nº de técnicos de laboratório formados"/>
    <s v="Casos de tuberculose diagnosticados"/>
    <s v="ISVSM"/>
    <x v="3"/>
    <s v="Formar 25 Técnicos de Laboratórios (14 CDT, Incluindo 2 RAP, 6 HAM e 3 LNR) realização de Baciloscopia e controlo de qualidade (CQ) (1 sessão de 5 dias no Ano 2015). Os 25 Técnicos de Laboratórios discriminados beneficiarão de uma sessão de formação de 5 dias de duração."/>
    <n v="7622.22"/>
    <n v="0"/>
    <n v="0"/>
    <n v="7622.22"/>
    <m/>
    <m/>
    <m/>
    <m/>
    <m/>
    <m/>
    <n v="7622.22"/>
  </r>
  <r>
    <n v="69"/>
    <s v="4.7.2"/>
    <s v="Reciclar 25 Técnicos de Laboratórios (14 CDT, Incluindo 2 RAP, 6 HAM E 3 LNR) realização de Baciloscopia e controlo de qualidade (CQ) (1 sessão de 5 dias no Ano 3)"/>
    <x v="0"/>
    <x v="2"/>
    <n v="3"/>
    <x v="7"/>
    <s v="Nº de técnicos de laboratório formados"/>
    <s v="Casos de tuberculose diagnosticados"/>
    <s v="ISVSM"/>
    <x v="3"/>
    <s v="Os formados do 4.7.1, serão reciclados dois anos mais tarde"/>
    <n v="7622.22"/>
    <n v="7622.22"/>
    <n v="0"/>
    <n v="15244.44"/>
    <m/>
    <m/>
    <m/>
    <m/>
    <m/>
    <m/>
    <n v="15244.44"/>
  </r>
  <r>
    <n v="70"/>
    <s v="4.8"/>
    <s v="Implementar o APSR (directrizes nacionais de APSR, guia de gestão de casos: de contactos e SR)"/>
    <x v="1"/>
    <x v="2"/>
    <n v="3"/>
    <x v="7"/>
    <s v="Diretrizes de APSR disponível"/>
    <s v="Casos de tuberculose diagnosticados"/>
    <s v="PNLT"/>
    <x v="7"/>
    <s v="PAL; Necessidade de uma AT Internacional. Trata-se de organizar dois ateliers de 7 dias (no T4 de 2013 e no T4 de 2014) para elaboração (e revisão) de directrizes nacionais de (APSR) Sintomáticos Respiratórios e elaborar (e rever) o guia de gestão de casos dos sintomas respiratórios (para médicos e enfermeiros)"/>
    <n v="0"/>
    <n v="0"/>
    <n v="0"/>
    <n v="0"/>
    <n v="0"/>
    <m/>
    <m/>
    <m/>
    <m/>
    <m/>
    <m/>
  </r>
  <r>
    <n v="71"/>
    <s v="4.8.1"/>
    <s v="Financiamento das RX dos suspeitos e 325 pacientes TB "/>
    <x v="0"/>
    <x v="2"/>
    <n v="3"/>
    <x v="7"/>
    <s v="Diretrizes de APSR disponível"/>
    <s v="Casos de tuberculose diagnosticados"/>
    <s v="PNLT"/>
    <x v="7"/>
    <s v="Aprovisionar películas (    ) de RX."/>
    <n v="2708.33"/>
    <n v="2708.33"/>
    <n v="2708.33"/>
    <n v="8124.99"/>
    <m/>
    <m/>
    <m/>
    <m/>
    <n v="8124.99"/>
    <m/>
    <m/>
  </r>
  <r>
    <n v="72"/>
    <s v="4.9"/>
    <s v="1.9.Organizar visitas domiciliares em busca de contactos dos casos positivos, perdidos de vista."/>
    <x v="1"/>
    <x v="2"/>
    <n v="3"/>
    <x v="7"/>
    <s v="Numero de conctatos notificados e seguidos"/>
    <s v="Casos de tuberculose diagnosticados"/>
    <s v="PNLT"/>
    <x v="3"/>
    <s v="Actividade contínua desde T1 2013, com custos anuais na ordem dos USD 7.140"/>
    <n v="7140"/>
    <n v="7140"/>
    <n v="7140"/>
    <n v="21420"/>
    <m/>
    <m/>
    <m/>
    <m/>
    <m/>
    <m/>
    <n v="21420"/>
  </r>
  <r>
    <n v="73"/>
    <s v="4.10.1"/>
    <s v="Formar 15 formadores sobre Sintomáticos Respiratórios, 1 sessão de 5 dias no Ano 1 "/>
    <x v="0"/>
    <x v="2"/>
    <n v="3"/>
    <x v="7"/>
    <s v="Numero de pretadores de cuidados de saude capacitados"/>
    <s v="Casos de tuberculose diagnosticados"/>
    <s v="ISVSM"/>
    <x v="7"/>
    <s v="Necessidade de uma AT Internacional;  provavelmente a mesma para a actividade 4.8"/>
    <n v="0"/>
    <n v="0"/>
    <n v="0"/>
    <n v="0"/>
    <m/>
    <m/>
    <m/>
    <m/>
    <m/>
    <m/>
    <n v="0"/>
  </r>
  <r>
    <n v="74"/>
    <s v="4.10.2"/>
    <s v="Formar 100 tecnicos de saude sobre Sintomáticos Respiratórios, 4 sessão de 5 dias no Ano 1 "/>
    <x v="0"/>
    <x v="2"/>
    <n v="3"/>
    <x v="7"/>
    <s v="Numero de pretadores de cuidados de saude capacitados"/>
    <s v="Casos de tuberculose diagnosticados"/>
    <s v="ISVSM"/>
    <x v="7"/>
    <s v="A formação dos 100 téncicos ocorrerá em  4 sessões de formação de uma duração de 5 dias, cada uma."/>
    <n v="20725.560000000001"/>
    <n v="0"/>
    <n v="0"/>
    <n v="20725.560000000001"/>
    <n v="20725.560000000001"/>
    <m/>
    <m/>
    <m/>
    <m/>
    <m/>
    <m/>
  </r>
  <r>
    <n v="75"/>
    <s v="4.10.3"/>
    <s v="Reciclar 100 tecnicos de saude sobre Sintomáticos Respiratórios, 4 sessão de 5 dias no Ano 2"/>
    <x v="0"/>
    <x v="2"/>
    <n v="3"/>
    <x v="7"/>
    <m/>
    <s v="Casos de tuberculose diagnosticados"/>
    <s v="ISVSM"/>
    <x v="7"/>
    <s v="Os formados na actividade 4.10.2 serão reciclados dois anos mais tarde"/>
    <n v="0"/>
    <n v="20725.560000000001"/>
    <n v="0"/>
    <n v="20725.560000000001"/>
    <n v="20725.560000000001"/>
    <m/>
    <m/>
    <m/>
    <m/>
    <m/>
    <m/>
  </r>
  <r>
    <n v="76"/>
    <s v="4.11"/>
    <s v="1.12.Supervisionar trimestralmente os CDT "/>
    <x v="1"/>
    <x v="3"/>
    <n v="2"/>
    <x v="7"/>
    <s v="Numero de pretadores de cuidados de saude capacitados"/>
    <s v="Casos de tuberculose diagnosticados"/>
    <s v="PNLT"/>
    <x v="1"/>
    <s v="Trata-se de realizar actividades de supervisão trimestralmente (pontos focais dos distritos aos postos e ASC) ; actividade contínua à partir do T1 2013, com custo anual na ordem dos USD 3.789 "/>
    <n v="3788.65"/>
    <n v="3788.65"/>
    <n v="3788.65"/>
    <n v="11365.95"/>
    <n v="11365.95"/>
    <m/>
    <m/>
    <m/>
    <m/>
    <m/>
    <m/>
  </r>
  <r>
    <n v="77"/>
    <s v="4.12"/>
    <s v="Aquisição de combustível para os distritos no apoio ao DOT ao nível comunitário"/>
    <x v="1"/>
    <x v="2"/>
    <n v="3"/>
    <x v="7"/>
    <m/>
    <s v="Casos de tuberculose diagnosticados"/>
    <s v="PNLT"/>
    <x v="8"/>
    <s v="Actividade contínua à partir do T1 2013;custo anual = 3.070"/>
    <n v="3070.2"/>
    <n v="3070.2"/>
    <n v="3070.2"/>
    <n v="9210.5999999999985"/>
    <n v="9210.5999999999985"/>
    <m/>
    <m/>
    <m/>
    <m/>
    <m/>
    <m/>
  </r>
  <r>
    <n v="78"/>
    <s v="4.13"/>
    <s v="Adquirir um microscopio de LED"/>
    <x v="1"/>
    <x v="2"/>
    <n v="3"/>
    <x v="7"/>
    <m/>
    <s v="Casos de tuberculose diagnosticados"/>
    <s v="PNUD"/>
    <x v="3"/>
    <m/>
    <n v="5000"/>
    <n v="0"/>
    <n v="0"/>
    <n v="5000"/>
    <n v="5000"/>
    <m/>
    <m/>
    <m/>
    <m/>
    <m/>
    <m/>
  </r>
  <r>
    <n v="79"/>
    <s v="5.1"/>
    <s v="Revisão  e impressão (do guia de manejo de caso de TB, modulos de formação)"/>
    <x v="1"/>
    <x v="2"/>
    <n v="3"/>
    <x v="8"/>
    <s v="Numero de documentos impressos"/>
    <s v="100% de casos detectados tratados"/>
    <s v="PNLT"/>
    <x v="3"/>
    <s v="Esta actividade necessita de uma AT Internacional; os trabalhos previstos culminarão com a realização de um atelier de 10 dias de duração com  25 participantes"/>
    <n v="0"/>
    <n v="0"/>
    <n v="0"/>
    <n v="0"/>
    <n v="0"/>
    <m/>
    <m/>
    <m/>
    <m/>
    <m/>
    <m/>
  </r>
  <r>
    <n v="80"/>
    <s v="5.2"/>
    <s v="Assegurar o aprovisionamento em antituberculosos de 1º linha (pacote)"/>
    <x v="1"/>
    <x v="2"/>
    <n v="3"/>
    <x v="8"/>
    <s v="Numero de dias de ruptura"/>
    <s v="100% de casos detectados tratados"/>
    <s v="PNLT"/>
    <x v="5"/>
    <s v="Trata-se de aquisição anual de medicamentos de primeira linha para tratar  (pacote por doente) adultos durante 5 anos"/>
    <n v="8050"/>
    <n v="4370"/>
    <n v="9430"/>
    <n v="21850"/>
    <m/>
    <m/>
    <m/>
    <n v="21850"/>
    <m/>
    <m/>
    <m/>
  </r>
  <r>
    <n v="81"/>
    <s v="5.2.1"/>
    <s v="Adquirir medicamentos para retratamento de 53 doentes durante 5 Anos"/>
    <x v="1"/>
    <x v="2"/>
    <n v="3"/>
    <x v="8"/>
    <m/>
    <s v="100% de casos detectados tratados"/>
    <s v="PNLT"/>
    <x v="5"/>
    <s v="Os medicamentos a serem adquiridos, todos os anos (T4) destinam-se ao tratamento de 53 doentes durante 5 anos "/>
    <n v="1280"/>
    <n v="832"/>
    <n v="2304"/>
    <n v="4416"/>
    <m/>
    <m/>
    <m/>
    <n v="4416"/>
    <m/>
    <m/>
    <m/>
  </r>
  <r>
    <n v="82"/>
    <s v="5.2.2"/>
    <s v="Adquirir medicamentos de primeira linha para tratar um total de 19 crianças durante 5 Anos"/>
    <x v="1"/>
    <x v="2"/>
    <n v="3"/>
    <x v="8"/>
    <m/>
    <s v="100% de casos detectados tratados"/>
    <s v="PNLT"/>
    <x v="5"/>
    <s v="Aquisição anual (T4) de medicamentos de primeira linha para tratamento de 19 crianças, durante 5 Anos"/>
    <n v="132"/>
    <n v="110"/>
    <n v="220"/>
    <n v="462"/>
    <m/>
    <m/>
    <m/>
    <n v="462"/>
    <m/>
    <m/>
    <m/>
  </r>
  <r>
    <n v="83"/>
    <s v="5.3"/>
    <s v="Assegurar o controlo de qualidade nacional (CQ) dos medicamentos nos postos de distribuição (laboratório a ser identificado)"/>
    <x v="1"/>
    <x v="2"/>
    <n v="3"/>
    <x v="8"/>
    <s v="Numero de relatório de CQ"/>
    <s v="100% de casos detectados tratados"/>
    <s v="FNM"/>
    <x v="5"/>
    <s v="Trata-se de identificação e de assinatura de uma convenção com um laboratório supranacional para que se possa assegurar o controlo de qualidade nacional(CQ) dos medicamentos nos postos de distribuição; actividade anual a ser concretizada nos T4"/>
    <n v="1783.86"/>
    <n v="1134.3599999999999"/>
    <n v="3058.62"/>
    <n v="5976.84"/>
    <n v="5976.84"/>
    <m/>
    <m/>
    <m/>
    <m/>
    <m/>
    <m/>
  </r>
  <r>
    <n v="84"/>
    <s v="5.4"/>
    <s v="Formar 24 supervisores (supervisão integrada), uma secção de 5 dias."/>
    <x v="0"/>
    <x v="3"/>
    <n v="2"/>
    <x v="1"/>
    <s v="Numero de supervisosres formados"/>
    <s v="100% de casos detectados tratados"/>
    <s v="ISVSM"/>
    <x v="1"/>
    <s v="Formação a ter lugar no 4º trimestre de 2013, numa única sessão de 5 dias de duração."/>
    <n v="3182.41"/>
    <n v="0"/>
    <n v="0"/>
    <n v="3182.41"/>
    <m/>
    <m/>
    <m/>
    <m/>
    <m/>
    <m/>
    <n v="3182.41"/>
  </r>
  <r>
    <n v="85"/>
    <s v="5.5"/>
    <s v="Supervisionar os prestadores de cuidados de saúde"/>
    <x v="1"/>
    <x v="3"/>
    <n v="2"/>
    <x v="1"/>
    <s v="Numero de visitas de supervisão "/>
    <s v="100% de casos detectados tratados"/>
    <s v="PNLT"/>
    <x v="1"/>
    <s v=" Realização de supervisão trimestral aos distritos, a partir do n central; Actividade contínua à partir do T1 2013;custo anual = USD 3.182"/>
    <n v="3182.41"/>
    <n v="3182.41"/>
    <n v="3182.41"/>
    <n v="9547.23"/>
    <n v="9547.23"/>
    <m/>
    <m/>
    <m/>
    <m/>
    <m/>
    <m/>
  </r>
  <r>
    <n v="86"/>
    <s v="5.6"/>
    <s v="Assegurar a aplicação do tratamento directamente observado"/>
    <x v="1"/>
    <x v="2"/>
    <n v="3"/>
    <x v="8"/>
    <s v="Percentagem de estruturas que aplicam TODO"/>
    <s v="100% de casos detectados tratados"/>
    <s v="PNLT"/>
    <x v="8"/>
    <s v="Actividade contínua à partir do T1 2013;disponibilização de verbas todos os Trimestres."/>
    <n v="3070.2"/>
    <n v="3070.2"/>
    <n v="3070.2"/>
    <n v="9210.5999999999985"/>
    <n v="9210.5999999999985"/>
    <m/>
    <m/>
    <m/>
    <m/>
    <m/>
    <m/>
  </r>
  <r>
    <n v="87"/>
    <s v="5.7.1"/>
    <s v=" Formar 50 Activistas de ONG, Associações Locais e (10) Socoristas para sensibilização das comunidades sobre TB  (TB/HIV; TB/MR)- (5 Dias, em 2 sessões de 20 pessoas em ST e uma sessão de 10 pessoas na RAP, Ano 1)"/>
    <x v="2"/>
    <x v="2"/>
    <n v="3"/>
    <x v="6"/>
    <m/>
    <s v="100% de casos detectados tratados"/>
    <s v="Zatona Adil"/>
    <x v="8"/>
    <s v=" A actividade visa a sensibilização das comunidades sobre TB  (TB/HIV; TB/MR); haverá  2 sessões de formação de 20 participantes (cada uma) e de uma duração de 5 dias em São Tomé; na RAP será realizada uma sessão para 10 participantes"/>
    <n v="11856.72"/>
    <n v="0"/>
    <n v="0"/>
    <n v="11856.72"/>
    <n v="11856.72"/>
    <m/>
    <m/>
    <m/>
    <m/>
    <m/>
    <m/>
  </r>
  <r>
    <n v="88"/>
    <s v="5.7.2"/>
    <s v=" Reciclar 50 Activistas de ONG, Associações Locais e (10) Socoristas para sensibilização das comunidades sobre TB  (TB/HIV; TB/MR)- (5 Dias, em 2 sessões de 20 pessoas em ST e uma sessão de 10 pessoas na RAP, ano 3)"/>
    <x v="2"/>
    <x v="2"/>
    <n v="3"/>
    <x v="6"/>
    <m/>
    <s v="100% de casos detectados tratados"/>
    <s v="Zatona Adil"/>
    <x v="8"/>
    <s v="Os formados em 5.7.1 serão reciclados dois anos mais tarde"/>
    <m/>
    <n v="11856.72"/>
    <n v="0"/>
    <n v="11856.72"/>
    <m/>
    <m/>
    <m/>
    <m/>
    <m/>
    <m/>
    <n v="11856.72"/>
  </r>
  <r>
    <n v="89"/>
    <s v="5.8"/>
    <s v="Apoio nutricional e Psico-social à 150 pacientes, durante 5 anos"/>
    <x v="0"/>
    <x v="2"/>
    <n v="3"/>
    <x v="8"/>
    <m/>
    <s v="100% de casos detectados tratados"/>
    <s v="PNLT"/>
    <x v="8"/>
    <s v="Actividade contínua à partir do T1 de 2013 e com custo anual na ordem de USD 3.000"/>
    <n v="3000"/>
    <n v="3000"/>
    <n v="3000"/>
    <n v="9000"/>
    <m/>
    <m/>
    <m/>
    <m/>
    <m/>
    <m/>
    <n v="9000"/>
  </r>
  <r>
    <n v="90"/>
    <s v="5.9"/>
    <s v="Formar e reciclar Médicos em manejo dos casos e estratégia Stop TB, co-infecção TB/HIV (5 Dias, 40 participantes) 20 participantes no ano 1 e 20 no ano 3"/>
    <x v="1"/>
    <x v="2"/>
    <n v="3"/>
    <x v="8"/>
    <m/>
    <s v="100% de casos detectados tratados"/>
    <s v="ISVSM"/>
    <x v="3"/>
    <s v="Concerne 40 Médicos repartidos em duas sessões de 20 participantes e com duração de 5 dias; a Reciclagem terá lugar em 2016"/>
    <m/>
    <n v="6143.39"/>
    <n v="0"/>
    <n v="6143.39"/>
    <m/>
    <m/>
    <m/>
    <m/>
    <m/>
    <m/>
    <n v="6143.39"/>
  </r>
  <r>
    <n v="91"/>
    <s v="5.10"/>
    <s v=" Formar 100 enfermeiros em manejo dos casos e estratégia Stop TB, co-infecção TB/HIV e  (2 sessões por ano de 5 Dias 50 no ano 1 e 50 no ano 3), Sendo 80 ST+20 RAP"/>
    <x v="1"/>
    <x v="2"/>
    <n v="3"/>
    <x v="8"/>
    <m/>
    <s v="100% de casos detectados tratados"/>
    <s v="ISVSM"/>
    <x v="3"/>
    <s v="A formação abrange 100 enfermeiros, reunidos em dois grupos de 50 em cada Ano (2014 e 2015)"/>
    <m/>
    <n v="9806.06"/>
    <n v="0"/>
    <n v="9806.06"/>
    <m/>
    <m/>
    <m/>
    <m/>
    <m/>
    <m/>
    <n v="9806.06"/>
  </r>
  <r>
    <n v="92"/>
    <s v="5.11"/>
    <s v="Gestão dos efeitos secundários "/>
    <x v="1"/>
    <x v="2"/>
    <n v="3"/>
    <x v="8"/>
    <m/>
    <s v="100% de casos detectados tratados"/>
    <s v="PNLT"/>
    <x v="5"/>
    <s v="Actividade contínua à partir do T1 de 2013 e com custo anual na ordem de USD 2.500; O orçamento global mais correcto seria USD 12.500"/>
    <n v="2500"/>
    <n v="2500"/>
    <n v="2500"/>
    <n v="7500"/>
    <m/>
    <m/>
    <m/>
    <m/>
    <n v="7500"/>
    <m/>
    <m/>
  </r>
  <r>
    <n v="93"/>
    <s v="6.1"/>
    <s v="Implementar o órgão de coordenação central e distrital das actividades de colaboração TB/HIV "/>
    <x v="1"/>
    <x v="4"/>
    <n v="4"/>
    <x v="9"/>
    <s v="Realização de uma reunião anual"/>
    <s v="prestação de serv. Integ. TB/HIV"/>
    <s v="PNLT"/>
    <x v="9"/>
    <s v="Actividade destacada apenas à título indicativo"/>
    <n v="0"/>
    <n v="0"/>
    <n v="0"/>
    <n v="0"/>
    <n v="0"/>
    <n v="0"/>
    <n v="0"/>
    <n v="0"/>
    <n v="0"/>
    <m/>
    <n v="0"/>
  </r>
  <r>
    <n v="94"/>
    <s v="6.2"/>
    <s v="Elaborar um Guia Nacional de Co-infeccção"/>
    <x v="1"/>
    <x v="4"/>
    <n v="4"/>
    <x v="9"/>
    <s v=" Guia nacional de coinfecção disponível"/>
    <s v="prestação de serv. Integ. TB/HIV"/>
    <s v="PNLT"/>
    <x v="9"/>
    <s v="Necessidade de uma AT Internacional; os trabalhos serão desenvolvidos sobretudo no âmbito  de um atelier de 5 dias de duração com  25 participantes"/>
    <n v="0"/>
    <n v="0"/>
    <n v="0"/>
    <n v="0"/>
    <m/>
    <m/>
    <m/>
    <m/>
    <m/>
    <m/>
    <n v="0"/>
  </r>
  <r>
    <n v="95"/>
    <s v="6.3"/>
    <s v="Colaborar na Integração dos instrumentos de registos e de reportagem de PNLS  para seguir as actividades  de 3 Is."/>
    <x v="1"/>
    <x v="4"/>
    <n v="4"/>
    <x v="9"/>
    <s v="Iinstrumentos de registos e de reportagem das actividades adaptados e disponíveis"/>
    <s v="prestação de serv. Integ. TB/HIV"/>
    <s v="PNLT"/>
    <x v="9"/>
    <s v="Actividade destacada apenas à título indicativo; coberta por 6.17"/>
    <n v="0"/>
    <n v="0"/>
    <n v="0"/>
    <n v="0"/>
    <n v="0"/>
    <n v="0"/>
    <n v="0"/>
    <n v="0"/>
    <n v="0"/>
    <m/>
    <n v="0"/>
  </r>
  <r>
    <n v="96"/>
    <s v="6.4"/>
    <s v="Organizar reuniões de planificação e seguimento das actividades trimestralmente"/>
    <x v="1"/>
    <x v="4"/>
    <n v="4"/>
    <x v="9"/>
    <s v="Nº de reuniões realizadas"/>
    <s v="prestação de serv. Integ. TB/HIV"/>
    <s v="PNLT"/>
    <x v="9"/>
    <s v="Actividade contínua à partir do T1 2013, com custo anual na ordem dos USD 367"/>
    <n v="366.67"/>
    <n v="366.67"/>
    <n v="366.67"/>
    <n v="1100.01"/>
    <n v="1100.01"/>
    <m/>
    <m/>
    <m/>
    <m/>
    <m/>
    <m/>
  </r>
  <r>
    <n v="97"/>
    <s v="6.5"/>
    <s v="Aprovisionar as unidades sanitárias com a isoniazida aos pacientes de HIV elegíveis (4.771 pacientes previsto nos 5 anos)"/>
    <x v="1"/>
    <x v="4"/>
    <n v="4"/>
    <x v="10"/>
    <s v="Nº de Isoniasida destribuidos"/>
    <s v="prestação de serv. Integ. TB/HIV"/>
    <s v="PNLT"/>
    <x v="5"/>
    <m/>
    <n v="951"/>
    <n v="963"/>
    <n v="975"/>
    <n v="2889"/>
    <m/>
    <m/>
    <m/>
    <m/>
    <n v="2889"/>
    <m/>
    <m/>
  </r>
  <r>
    <n v="98"/>
    <s v="6.6"/>
    <s v="Assegurar a despistagem da TB (teste PPD)"/>
    <x v="1"/>
    <x v="4"/>
    <n v="4"/>
    <x v="10"/>
    <s v="numero e percentagem de PVHVI testados"/>
    <s v="prestação de serv. Integ. TB/HIV"/>
    <s v="PNLT"/>
    <x v="5"/>
    <s v="Actividade contínua à partir do T1 2013, com custo anual na ordem dos USD 1.262; disponibilização de verbas todos os Trimestres"/>
    <n v="1262.48"/>
    <n v="1262.48"/>
    <n v="1262.48"/>
    <n v="3787.44"/>
    <m/>
    <m/>
    <m/>
    <m/>
    <m/>
    <m/>
    <n v="3787.44"/>
  </r>
  <r>
    <n v="99"/>
    <s v="6.8"/>
    <s v="Reforçar o aconselhamento da prevenção do VIH nos doentes TB"/>
    <x v="1"/>
    <x v="4"/>
    <n v="4"/>
    <x v="9"/>
    <m/>
    <s v="prestação de serv. Integ. TB/HIV"/>
    <s v="PNLT"/>
    <x v="9"/>
    <s v="Actividade destacada apenas à título indicativo"/>
    <n v="0"/>
    <n v="0"/>
    <n v="0"/>
    <n v="0"/>
    <m/>
    <m/>
    <m/>
    <m/>
    <m/>
    <m/>
    <n v="0"/>
  </r>
  <r>
    <n v="100"/>
    <s v="6.9"/>
    <s v="Reforçar as capacidades dos prestadores de cuidados de saúde em TB/HIV (Médicos, 100 enfermeiros,"/>
    <x v="1"/>
    <x v="4"/>
    <n v="4"/>
    <x v="9"/>
    <s v="Nº de médicos formados em TB/HIV"/>
    <s v="prestação de serv. Integ. TB/HIV"/>
    <s v="PNLT"/>
    <x v="9"/>
    <s v="Actividade destacada apenas à título indicativo; coberto por 5.9 e 5.10"/>
    <n v="0"/>
    <n v="0"/>
    <n v="0"/>
    <n v="0"/>
    <m/>
    <m/>
    <m/>
    <m/>
    <m/>
    <m/>
    <n v="0"/>
  </r>
  <r>
    <n v="101"/>
    <s v="6.10"/>
    <s v="Determinar a prevalência d de TB nas pessoas que vivem com VIH "/>
    <x v="1"/>
    <x v="4"/>
    <n v="4"/>
    <x v="10"/>
    <s v="Prevalência de TB nas pessoas que vivem com HIV"/>
    <s v="prestação de serv. Integ. TB/HIV"/>
    <s v="PNLS"/>
    <x v="9"/>
    <s v="Actividade contínua desde T1 2013; o custo médio anual é na ordem dos USD 1.886"/>
    <n v="2621.6928999999996"/>
    <n v="2621.6928999999996"/>
    <n v="2621.6928999999996"/>
    <n v="7865.0786999999982"/>
    <m/>
    <m/>
    <m/>
    <m/>
    <n v="7865.0786999999982"/>
    <m/>
    <m/>
  </r>
  <r>
    <n v="102"/>
    <s v="6.11"/>
    <s v="Determinar VIH nos pacientes com TB através dos postos sentinelas"/>
    <x v="1"/>
    <x v="4"/>
    <n v="4"/>
    <x v="10"/>
    <s v="Prevalência de VIH nos pacientes TB"/>
    <s v="prestação de serv. Integ. TB/HIV"/>
    <s v="PNLT"/>
    <x v="9"/>
    <s v="Actividade contínua destacada apenas à título indicativo; custos suportados  por PNLS"/>
    <n v="0"/>
    <n v="0"/>
    <n v="0"/>
    <n v="0"/>
    <n v="0"/>
    <n v="0"/>
    <n v="0"/>
    <n v="0"/>
    <n v="0"/>
    <m/>
    <n v="0"/>
  </r>
  <r>
    <n v="103"/>
    <s v="6.12"/>
    <s v="Formar 15 formadores em TB/HIV, 1 secção de 5 dias no Ano 2"/>
    <x v="1"/>
    <x v="4"/>
    <n v="4"/>
    <x v="9"/>
    <m/>
    <s v="prestação de serv. Integ. TB/HIV"/>
    <s v="ISVSM"/>
    <x v="9"/>
    <m/>
    <n v="0"/>
    <n v="0"/>
    <n v="0"/>
    <n v="0"/>
    <n v="0"/>
    <m/>
    <m/>
    <m/>
    <m/>
    <m/>
    <m/>
  </r>
  <r>
    <n v="104"/>
    <s v="6.13"/>
    <s v="Reciclar 15 formadores em TB/HIV, 1 secção de 5 dias no Ano 4"/>
    <x v="1"/>
    <x v="4"/>
    <n v="4"/>
    <x v="9"/>
    <m/>
    <s v="prestação de serv. Integ. TB/HIV"/>
    <s v="ISVSM"/>
    <x v="9"/>
    <s v="Reciclagem  prevista para 2016"/>
    <m/>
    <n v="9994.2199999999993"/>
    <n v="0"/>
    <n v="9994.2199999999993"/>
    <n v="9994.2199999999993"/>
    <m/>
    <m/>
    <m/>
    <m/>
    <m/>
    <m/>
  </r>
  <r>
    <n v="105"/>
    <s v="6.14"/>
    <s v="Adquirir cotrimoxazol"/>
    <x v="1"/>
    <x v="4"/>
    <n v="4"/>
    <x v="10"/>
    <m/>
    <s v="prestação de serv. Integ. TB/HIV"/>
    <s v="PNLS"/>
    <x v="5"/>
    <s v="Actividade anual, contínua a ser concretizada nos 3º trimestres"/>
    <n v="0"/>
    <n v="0"/>
    <n v="0"/>
    <n v="0"/>
    <n v="0"/>
    <n v="0"/>
    <n v="0"/>
    <n v="0"/>
    <n v="0"/>
    <m/>
    <n v="0"/>
  </r>
  <r>
    <n v="106"/>
    <s v="6.15"/>
    <s v="Adquirir ARV"/>
    <x v="1"/>
    <x v="4"/>
    <n v="4"/>
    <x v="10"/>
    <m/>
    <s v="prestação de serv. Integ. TB/HIV"/>
    <s v="PNLS"/>
    <x v="5"/>
    <s v="Actividade anual, contínua a ser concretizada nos 3º trimestres"/>
    <n v="0"/>
    <n v="0"/>
    <n v="0"/>
    <n v="0"/>
    <n v="0"/>
    <n v="0"/>
    <n v="0"/>
    <n v="0"/>
    <n v="0"/>
    <m/>
    <n v="0"/>
  </r>
  <r>
    <n v="107"/>
    <s v="6.16"/>
    <s v="Adquirir teste de VIH"/>
    <x v="1"/>
    <x v="4"/>
    <n v="4"/>
    <x v="10"/>
    <m/>
    <s v="prestação de serv. Integ. TB/HIV"/>
    <s v="PNLS"/>
    <x v="5"/>
    <s v="Actividade anual, contínua, em princípio, coberta por FNUAP; a ser concretizada no T3"/>
    <n v="0"/>
    <n v="0"/>
    <n v="0"/>
    <n v="0"/>
    <n v="0"/>
    <n v="0"/>
    <n v="0"/>
    <n v="0"/>
    <n v="0"/>
    <m/>
    <n v="0"/>
  </r>
  <r>
    <n v="108"/>
    <s v="6.17"/>
    <s v="Colaborar na Integração dos instrumentos de registos e de reportagem para seguir as actividades de 3 Is."/>
    <x v="1"/>
    <x v="4"/>
    <n v="4"/>
    <x v="9"/>
    <m/>
    <s v="prestação de serv. Integ. TB/HIV"/>
    <s v="PNLT"/>
    <x v="9"/>
    <s v="Actividade contínua com concretização prevista para T4 de cada ano"/>
    <n v="2000"/>
    <n v="2000"/>
    <n v="2000"/>
    <n v="6000"/>
    <m/>
    <m/>
    <m/>
    <m/>
    <m/>
    <m/>
    <n v="6000"/>
  </r>
  <r>
    <n v="109"/>
    <s v="6.18"/>
    <s v="Atelier para Elaboração da politica de controlo de infecção (25 participantes durante 5 dias)"/>
    <x v="1"/>
    <x v="4"/>
    <n v="4"/>
    <x v="9"/>
    <m/>
    <s v="prestação de serv. Integ. TB/HIV"/>
    <s v="PNLT"/>
    <x v="9"/>
    <s v="Atelier de 5 dias de duração com  25 participantes, a ser realizado no 1º trimestre de 2014"/>
    <n v="0"/>
    <n v="0"/>
    <n v="0"/>
    <n v="0"/>
    <m/>
    <m/>
    <m/>
    <m/>
    <n v="0"/>
    <m/>
    <m/>
  </r>
  <r>
    <n v="110"/>
    <s v="7.1"/>
    <s v="Rever reproduzir o guia de Gestão de TB MR"/>
    <x v="1"/>
    <x v="1"/>
    <n v="5"/>
    <x v="11"/>
    <s v="Numero de guia disponivel"/>
    <s v="Capacidades de PNLT para gestão de  TB MR  reforçadas"/>
    <s v="PNLT"/>
    <x v="10"/>
    <s v="Atelier de 3 dias de duração com  15 participantes, a decorrer no 2º trimestre de 2015"/>
    <n v="0"/>
    <n v="2070.59"/>
    <n v="0"/>
    <n v="2070.59"/>
    <n v="2070.59"/>
    <m/>
    <m/>
    <m/>
    <m/>
    <m/>
    <m/>
  </r>
  <r>
    <n v="111"/>
    <s v="7.2"/>
    <s v="Elaborar o documento de politica de controlo de infecção TB nos serviços de saúde e estabelecimentos colectivos e respectivo plano"/>
    <x v="1"/>
    <x v="1"/>
    <n v="5"/>
    <x v="11"/>
    <s v="Documentos elaborados e  disponiveis"/>
    <s v="Capacidades de PNLT para gestão de  TB MR  reforçadas"/>
    <s v="PNLT"/>
    <x v="10"/>
    <s v="Necessidade de uma AT Internacional; alocação de fundo suplementar (USD 50.000) proveniente de 5.11 Gestão de efeitos secundários; o Atelier terá uma duração de 5 dias com  25 participantes, e será realizado no 2º trimestre de 2014"/>
    <n v="0"/>
    <n v="0"/>
    <n v="0"/>
    <n v="0"/>
    <n v="0"/>
    <m/>
    <m/>
    <m/>
    <m/>
    <m/>
    <m/>
  </r>
  <r>
    <n v="112"/>
    <s v="7.3"/>
    <s v=" Formar  15 técnicos em gestão de TB MR, 1 sessão de 5 dias (ano 3 e ano 4)"/>
    <x v="0"/>
    <x v="1"/>
    <n v="5"/>
    <x v="11"/>
    <s v="Numero técnicos formados"/>
    <s v="Capacidades de PNLT para gestão de  TB MR  reforçadas"/>
    <s v="ISVSM"/>
    <x v="10"/>
    <s v="Trata-se de formação de formadores que irão assegurar a realização das actividades 7.18,19,20"/>
    <n v="4411.3900000000003"/>
    <n v="4411.3900000000003"/>
    <n v="0"/>
    <n v="8822.7800000000007"/>
    <n v="8822.7800000000007"/>
    <m/>
    <m/>
    <m/>
    <m/>
    <m/>
    <m/>
  </r>
  <r>
    <n v="113"/>
    <s v="7.4.1"/>
    <s v="Formar 2 técnicos de laboratório em cultura, no exteriordo país."/>
    <x v="1"/>
    <x v="1"/>
    <n v="5"/>
    <x v="12"/>
    <s v="Numero técnicos formados"/>
    <s v="Capacidades de PNLT para gestão de  TB MR  reforçadas"/>
    <s v="PNLT"/>
    <x v="10"/>
    <s v="Prevê-se a formação de 2 técnicos de laboratório no exterior o país, em simultãneo, no 4º trimestre de 2014"/>
    <n v="38152"/>
    <n v="0"/>
    <n v="0"/>
    <n v="38152"/>
    <n v="19076"/>
    <n v="19076"/>
    <m/>
    <m/>
    <m/>
    <m/>
    <m/>
  </r>
  <r>
    <n v="114"/>
    <s v="7.5"/>
    <s v=" Implementar o Laboratório de cultura e o teste de sensibilidade"/>
    <x v="1"/>
    <x v="1"/>
    <n v="5"/>
    <x v="12"/>
    <s v="Numero de exames realizados localmente"/>
    <s v="Capacidades de PNLT para gestão de  TB MR  reforçadas"/>
    <s v="PNLT"/>
    <x v="4"/>
    <s v="Esta actividade de grande relevo,  também está destacada no Plano EXPANSÃO (2.5), com a conclusão prevista para T3 2014"/>
    <n v="563554.69999999995"/>
    <n v="0"/>
    <n v="0"/>
    <n v="563554.69999999995"/>
    <m/>
    <n v="563554.69999999995"/>
    <m/>
    <m/>
    <m/>
    <m/>
    <m/>
  </r>
  <r>
    <n v="115"/>
    <s v="7.6"/>
    <s v="Aprovisionar o país de uma de teste rápido (Gene-Xpert e cartuchos)"/>
    <x v="1"/>
    <x v="1"/>
    <n v="5"/>
    <x v="12"/>
    <s v="Numero de dias de ruptura"/>
    <s v="Capacidades de PNLT para gestão de  TB MR  reforçadas"/>
    <s v="PNUD"/>
    <x v="5"/>
    <s v="Actividade destacada no PLANO EXPANS com o código 2.4"/>
    <n v="35499.599999999999"/>
    <n v="21897"/>
    <n v="22942"/>
    <n v="80338.600000000006"/>
    <n v="80338.600000000006"/>
    <m/>
    <m/>
    <m/>
    <m/>
    <m/>
    <m/>
  </r>
  <r>
    <n v="116"/>
    <s v="7.7"/>
    <s v="Aprovisionar o laboratório de cultura em consumíveis e reagente "/>
    <x v="1"/>
    <x v="1"/>
    <n v="5"/>
    <x v="12"/>
    <s v="Numero de dias de ruptura"/>
    <s v="Capacidades de PNLT para gestão de  TB MR  reforçadas"/>
    <s v="PNUD"/>
    <x v="5"/>
    <s v="Actividade destacada no PL EXPANS com código 2.6; trata-se de adquirir reagentes e consumíveis de laboratório para cultura e teste de sensibilidade durante 5 anos"/>
    <n v="12480"/>
    <n v="14400"/>
    <n v="19680"/>
    <n v="46560"/>
    <n v="19680"/>
    <n v="26880"/>
    <m/>
    <m/>
    <m/>
    <m/>
    <m/>
  </r>
  <r>
    <n v="117"/>
    <s v="7.8"/>
    <s v="Reforçar o sistema de transporte de amostras"/>
    <x v="1"/>
    <x v="1"/>
    <n v="5"/>
    <x v="12"/>
    <s v="Numero de amostras referidas das US"/>
    <s v="Capacidades de PNLT para gestão de  TB MR  reforçadas"/>
    <s v="PNLT"/>
    <x v="4"/>
    <s v="Trata-se de controlo ao nível interno (distritos/país); actividade contínua desde T1 2013"/>
    <n v="1003.33"/>
    <n v="1003.33"/>
    <n v="1003.33"/>
    <n v="3009.9900000000002"/>
    <n v="3009.9900000000002"/>
    <m/>
    <m/>
    <m/>
    <m/>
    <m/>
    <m/>
  </r>
  <r>
    <n v="118"/>
    <s v="7.9"/>
    <s v="Criar e fazer funcionar um grupo de coordenação gestão para TB MR. (grupo técnico nacional)"/>
    <x v="0"/>
    <x v="1"/>
    <n v="5"/>
    <x v="11"/>
    <s v="Numero de relatorio das actividades"/>
    <s v="Capacidades de PNLT para gestão de  TB MR  reforçadas"/>
    <s v="PNLT"/>
    <x v="10"/>
    <s v="Actividade contínua, destacada apenas à título indicativo"/>
    <n v="0"/>
    <n v="0"/>
    <n v="0"/>
    <n v="0"/>
    <n v="0"/>
    <n v="0"/>
    <n v="0"/>
    <n v="0"/>
    <n v="0"/>
    <m/>
    <n v="0"/>
  </r>
  <r>
    <n v="119"/>
    <s v="7.10"/>
    <s v="Assegurar o tratamento de 2ªlinha a todos os casos de TBMR conforme as directrizes nacional (53 pacotes)"/>
    <x v="1"/>
    <x v="1"/>
    <n v="5"/>
    <x v="8"/>
    <s v="Numero de pacientes submetidos ao tratamento de 2ªlinha"/>
    <s v="Capacidades de PNLT para gestão de  TB MR  reforçadas"/>
    <s v="PNUD"/>
    <x v="10"/>
    <s v="Actividade contínua desde T1 2013; trata-se de adquirir medicamentos de segunda linha para 53 doentes TB/MR, durante 5 Anos"/>
    <n v="19345"/>
    <n v="19674"/>
    <n v="35363"/>
    <n v="74382"/>
    <n v="74382"/>
    <m/>
    <m/>
    <m/>
    <m/>
    <m/>
    <m/>
  </r>
  <r>
    <m/>
    <s v="7.11"/>
    <s v="Assegurar o manejo dos efeitos secundários"/>
    <x v="1"/>
    <x v="1"/>
    <n v="5"/>
    <x v="8"/>
    <m/>
    <m/>
    <s v="PNLT"/>
    <x v="10"/>
    <s v="Actividade contínua desde T1 2013"/>
    <n v="238.1"/>
    <n v="238.1"/>
    <n v="238.1"/>
    <n v="714.3"/>
    <m/>
    <m/>
    <m/>
    <m/>
    <n v="714.3"/>
    <m/>
    <m/>
  </r>
  <r>
    <n v="120"/>
    <s v="7.12"/>
    <s v="Assegurar Apoio nutricional e psico social"/>
    <x v="0"/>
    <x v="1"/>
    <n v="5"/>
    <x v="8"/>
    <s v="Percentagem de pacientes que recebem cesta básica"/>
    <s v="Capacidades de PNLT para gestão de  TB MR  reforçadas"/>
    <s v="PNLT"/>
    <x v="8"/>
    <s v="Actividade contínua desde T1 2013, também destacada no Plano Expansão (3.8)"/>
    <n v="9523.81"/>
    <n v="9523.81"/>
    <n v="9523.81"/>
    <n v="28571.43"/>
    <n v="28571.43"/>
    <m/>
    <m/>
    <m/>
    <m/>
    <m/>
    <m/>
  </r>
  <r>
    <n v="121"/>
    <s v="7.13"/>
    <s v="Assegurar a Vigilância da resistência (implementar a vigilância sentinela)"/>
    <x v="1"/>
    <x v="1"/>
    <n v="5"/>
    <x v="11"/>
    <s v="Relatório de vigilância sentinela disponivel"/>
    <s v="Capacidades de PNLT para gestão de  TB MR  reforçadas"/>
    <s v="PNLT"/>
    <x v="10"/>
    <s v="Actividade contínua à partir do T3 2013"/>
    <n v="1423.33"/>
    <n v="1423.33"/>
    <n v="1423.33"/>
    <n v="4269.99"/>
    <n v="4269.99"/>
    <m/>
    <m/>
    <m/>
    <m/>
    <m/>
    <m/>
  </r>
  <r>
    <n v="122"/>
    <s v="7.14"/>
    <s v="Supervisionar as actividades de rotina da TB MR mensalmente"/>
    <x v="1"/>
    <x v="3"/>
    <n v="2"/>
    <x v="11"/>
    <s v="Numero de supervisão realizadas"/>
    <s v="Capacidades de PNLT para gestão de  TB MR  reforçadas"/>
    <s v="PNLT"/>
    <x v="1"/>
    <s v="Actividade contínua desde T1 2013"/>
    <n v="747.33"/>
    <n v="747.33"/>
    <n v="747.33"/>
    <n v="2241.9900000000002"/>
    <m/>
    <m/>
    <m/>
    <m/>
    <n v="2241.9900000000002"/>
    <m/>
    <m/>
  </r>
  <r>
    <n v="123"/>
    <s v="7.15"/>
    <s v="Assegurar o envio de amostras de pacientes suspeitos para CPC, durante 5 anos"/>
    <x v="1"/>
    <x v="1"/>
    <n v="5"/>
    <x v="12"/>
    <m/>
    <s v="Capacidades de PNLT para gestão de  TB MR  reforçadas"/>
    <s v="PNLT"/>
    <x v="3"/>
    <s v="Custos cobertos pelas actividades 4.4.1 e 4.4.1.1"/>
    <n v="0"/>
    <n v="0"/>
    <n v="0"/>
    <n v="0"/>
    <n v="0"/>
    <n v="0"/>
    <n v="0"/>
    <n v="0"/>
    <n v="0"/>
    <m/>
    <n v="0"/>
  </r>
  <r>
    <n v="124"/>
    <s v="7.16"/>
    <s v="Disponibilizar o plano de seguimento dos casos TB MR conforme as directrizes da OMS"/>
    <x v="0"/>
    <x v="1"/>
    <n v="5"/>
    <x v="11"/>
    <m/>
    <s v="Capacidades de PNLT para gestão de  TB MR  reforçadas"/>
    <s v="PNLT"/>
    <x v="10"/>
    <s v="Actividade destacada apenas à título indicativo"/>
    <n v="0"/>
    <n v="0"/>
    <n v="0"/>
    <n v="0"/>
    <n v="0"/>
    <n v="0"/>
    <n v="0"/>
    <n v="0"/>
    <n v="0"/>
    <m/>
    <n v="0"/>
  </r>
  <r>
    <n v="125"/>
    <s v="7.17"/>
    <s v="Reabilitação e adapatação das estruturas existentes ao  tratamento de TB MR "/>
    <x v="1"/>
    <x v="1"/>
    <n v="5"/>
    <x v="8"/>
    <m/>
    <s v="Capacidades de PNLT para gestão de  TB MR  reforçadas"/>
    <s v="PNUD"/>
    <x v="4"/>
    <s v="Adaptação do serviço de tisiologia; 2015, T2"/>
    <n v="30000"/>
    <n v="0"/>
    <n v="0"/>
    <n v="30000"/>
    <n v="30000"/>
    <m/>
    <m/>
    <m/>
    <m/>
    <m/>
    <m/>
  </r>
  <r>
    <n v="126"/>
    <s v="7.18"/>
    <s v="Assegurar a formação de 54 agentes de saúde n manejo de casos da Tuberculose multiresistente (18 médicos, 18 enfermeiros, 9 técnicos de farmácia e 9 de laboratório)"/>
    <x v="1"/>
    <x v="1"/>
    <n v="5"/>
    <x v="8"/>
    <m/>
    <s v="Capacidades de PNLT para gestão de  TB MR  reforçadas"/>
    <s v="NLT"/>
    <x v="10"/>
    <s v="Actividade desdobrada em duas sessões de 5 dias de duração,  sendo a 1ª no 2º Trim 2013 e a 2ª no 3º Trim 2015; ao todo serão 40 participantes, sendo 20 em cada sessão"/>
    <n v="11013.44"/>
    <n v="0"/>
    <n v="0"/>
    <n v="11013.44"/>
    <n v="11013.44"/>
    <m/>
    <m/>
    <m/>
    <m/>
    <m/>
    <m/>
  </r>
  <r>
    <n v="127"/>
    <s v="7.19"/>
    <s v="Fazer advocacia para a mobilização e a alocação dos recursos necessários para a luta contra a TBMR"/>
    <x v="1"/>
    <x v="1"/>
    <n v="5"/>
    <x v="11"/>
    <m/>
    <s v="Capacidades de PNLT para gestão de  TB MR  reforçadas"/>
    <s v="PNLT"/>
    <x v="10"/>
    <s v="A Reciclagem será realizada em 2016"/>
    <n v="152.30000000000001"/>
    <n v="152.30000000000001"/>
    <n v="152.30000000000001"/>
    <n v="456.90000000000003"/>
    <m/>
    <m/>
    <m/>
    <m/>
    <n v="456.90000000000003"/>
    <m/>
    <m/>
  </r>
  <r>
    <n v="128"/>
    <s v="7.20"/>
    <s v="Assegurar a formação de três (3) quadros do programa em gestão de TB multirresistente."/>
    <x v="1"/>
    <x v="1"/>
    <n v="5"/>
    <x v="11"/>
    <m/>
    <s v="Capacidades de PNLT para gestão de  TB MR  reforçadas"/>
    <s v="PNLT"/>
    <x v="10"/>
    <s v="Formação no esterios destinada a quadros tecnicos do programa"/>
    <n v="22152"/>
    <n v="0"/>
    <n v="0"/>
    <n v="22152"/>
    <n v="22152"/>
    <m/>
    <m/>
    <m/>
    <m/>
    <m/>
    <m/>
  </r>
  <r>
    <n v="129"/>
    <s v="7.21"/>
    <s v="Formar 20 pessoal de terreno para a recolha e transporte de amostras"/>
    <x v="0"/>
    <x v="1"/>
    <n v="5"/>
    <x v="12"/>
    <m/>
    <s v="Capacidades de PNLT para gestão de  TB MR  reforçadas"/>
    <s v="ISVSM"/>
    <x v="10"/>
    <s v="Desina-se aos tecnicos de laboratorio do HAM"/>
    <n v="0"/>
    <n v="0"/>
    <n v="0"/>
    <n v="0"/>
    <m/>
    <m/>
    <m/>
    <m/>
    <m/>
    <m/>
    <n v="0"/>
  </r>
  <r>
    <n v="130"/>
    <s v="7.22"/>
    <s v="Implementar o sistema de rastreamento das amostras do desde a recolha até ao tratamento"/>
    <x v="1"/>
    <x v="1"/>
    <n v="5"/>
    <x v="12"/>
    <m/>
    <s v="Capacidades de PNLT para gestão de  TB MR  reforçadas"/>
    <s v="PNLT"/>
    <x v="10"/>
    <s v="Elaborar directrizes sua implementação para recolha de amostras"/>
    <n v="750"/>
    <n v="750"/>
    <n v="750"/>
    <n v="2250"/>
    <m/>
    <m/>
    <m/>
    <m/>
    <n v="2250"/>
    <m/>
    <m/>
  </r>
  <r>
    <n v="131"/>
    <s v="7.23"/>
    <s v="Tratar 100% dos casos de TB MR confirmados  até 2017"/>
    <x v="1"/>
    <x v="1"/>
    <n v="5"/>
    <x v="8"/>
    <m/>
    <s v="Capacidades de PNLT para gestão de  TB MR  reforçadas"/>
    <s v="PNLT"/>
    <x v="10"/>
    <m/>
    <n v="0"/>
    <n v="0"/>
    <n v="0"/>
    <n v="0"/>
    <n v="0"/>
    <n v="0"/>
    <n v="0"/>
    <n v="0"/>
    <n v="0"/>
    <m/>
    <n v="0"/>
  </r>
  <r>
    <n v="132"/>
    <s v="7.24"/>
    <s v="Assegurar o tratamento diretamente observado (TDO) a todos os os pacientes MR em tratamento"/>
    <x v="1"/>
    <x v="1"/>
    <n v="5"/>
    <x v="8"/>
    <m/>
    <s v="Capacidades de PNLT para gestão de  TB MR  reforçadas"/>
    <s v="PNLT"/>
    <x v="10"/>
    <n v="1"/>
    <n v="6103.6111111111113"/>
    <n v="6103.6111111111113"/>
    <n v="6103.6111111111113"/>
    <n v="18310.833333333336"/>
    <n v="18310.833333333336"/>
    <m/>
    <m/>
    <m/>
    <m/>
    <m/>
    <m/>
  </r>
  <r>
    <n v="133"/>
    <s v="7.25"/>
    <s v="Identificar todos os pacientes irregulares ao tratamento"/>
    <x v="1"/>
    <x v="1"/>
    <n v="5"/>
    <x v="8"/>
    <m/>
    <s v="Capacidades de PNLT para gestão de  TB MR  reforçadas"/>
    <s v="PNLT"/>
    <x v="10"/>
    <n v="1"/>
    <n v="0"/>
    <n v="0"/>
    <n v="0"/>
    <n v="0"/>
    <n v="0"/>
    <n v="0"/>
    <n v="0"/>
    <n v="0"/>
    <n v="0"/>
    <m/>
    <n v="0"/>
  </r>
  <r>
    <n v="134"/>
    <s v="7.26"/>
    <s v="Assegurar o seguimento dos efeitos adversos do tratamento TB MR nos doentes colocados sob tratamento, até 2017"/>
    <x v="1"/>
    <x v="1"/>
    <n v="5"/>
    <x v="8"/>
    <m/>
    <s v="Capacidades de PNLT para gestão de  TB MR  reforçadas"/>
    <s v="PNLT"/>
    <x v="10"/>
    <m/>
    <n v="266.66666666666669"/>
    <n v="277.77777777777777"/>
    <n v="319.44444444444446"/>
    <n v="863.88888888888891"/>
    <m/>
    <m/>
    <m/>
    <m/>
    <n v="863.88888888888891"/>
    <m/>
    <m/>
  </r>
  <r>
    <n v="135"/>
    <s v="7.27"/>
    <s v="Assegurar o manejo dos efeitos adversos a qualquer paciente sob tratamento, até 2017"/>
    <x v="1"/>
    <x v="1"/>
    <n v="5"/>
    <x v="8"/>
    <m/>
    <s v="Capacidades de PNLT para gestão de  TB MR  reforçadas"/>
    <s v="PNLT"/>
    <x v="10"/>
    <s v="Aguisição de medicamentos. Prevista para os anos 2015, 2016 e 2017, no T1 de cada ano"/>
    <n v="4608"/>
    <n v="4608"/>
    <n v="4608"/>
    <n v="13824"/>
    <m/>
    <m/>
    <m/>
    <m/>
    <n v="13824"/>
    <m/>
    <m/>
  </r>
  <r>
    <n v="136"/>
    <s v="7.28"/>
    <s v=" Formar  - para cada paciente ao tratamento - um membro da Comunidade para a realização do TDO, até 2017 (488 Membres de la communauté)"/>
    <x v="1"/>
    <x v="1"/>
    <n v="5"/>
    <x v="13"/>
    <s v="Percentagem de pacientes com efeitos secundários que foram tratados"/>
    <s v="Capacidades de PNLT para gestão de  TB MR  reforçadas"/>
    <s v="ISVSM"/>
    <x v="10"/>
    <s v="Fomar menbro da comunidade envolvido no DOT. Bros por trimestrePrevisto para o ano 2015,2016 e 2017, em todos os trimestes, sendo 25 mem"/>
    <n v="2720.6"/>
    <n v="2720.6"/>
    <n v="2780.3"/>
    <n v="8221.5"/>
    <n v="8221.5"/>
    <m/>
    <m/>
    <m/>
    <m/>
    <m/>
    <m/>
  </r>
  <r>
    <n v="137"/>
    <s v="7.29"/>
    <s v="Implementar até 2015, o mecanismo de farmacovigilância para pacientes em tratamento."/>
    <x v="1"/>
    <x v="1"/>
    <n v="5"/>
    <x v="8"/>
    <m/>
    <s v="Capacidades de PNLT para gestão de  TB MR  reforçadas"/>
    <s v="PNLT"/>
    <x v="10"/>
    <m/>
    <n v="5584.7"/>
    <n v="5584.7"/>
    <n v="5584.7"/>
    <n v="16754.099999999999"/>
    <n v="16754.099999999999"/>
    <m/>
    <m/>
    <m/>
    <m/>
    <m/>
    <m/>
  </r>
  <r>
    <n v="138"/>
    <s v="7.30"/>
    <s v="Treinar 16 rofessionais para a utilização das orientações e ferramentas de coleta de dados"/>
    <x v="1"/>
    <x v="3"/>
    <n v="2"/>
    <x v="11"/>
    <m/>
    <s v="Capacidades de PNLT para gestão de  TB MR  reforçadas"/>
    <s v="ISVSM"/>
    <x v="1"/>
    <s v="Formar os pontos focais de TB, os RDs dos distritos e tecnicos do HAM"/>
    <n v="0"/>
    <n v="0"/>
    <n v="0"/>
    <n v="0"/>
    <m/>
    <m/>
    <m/>
    <m/>
    <m/>
    <m/>
    <n v="0"/>
  </r>
  <r>
    <n v="139"/>
    <s v="7.31"/>
    <s v="Formar 50 gestores do sistema de saúde na exploração e análise de dados para tomada de decisão"/>
    <x v="0"/>
    <x v="3"/>
    <n v="2"/>
    <x v="11"/>
    <m/>
    <s v="Capacidades de PNLT para gestão de  TB MR  reforçadas"/>
    <s v="ISVSM"/>
    <x v="4"/>
    <m/>
    <n v="0"/>
    <n v="0"/>
    <n v="0"/>
    <n v="0"/>
    <m/>
    <m/>
    <m/>
    <m/>
    <m/>
    <m/>
    <n v="0"/>
  </r>
  <r>
    <n v="140"/>
    <s v="7.32"/>
    <s v="Advogar junto aos decisores (CNE, DAF e MSAS,.) para o planificação e orçamentação da supervisão, de forma regular "/>
    <x v="2"/>
    <x v="3"/>
    <n v="2"/>
    <x v="11"/>
    <m/>
    <s v="Capacidades de PNLT para gestão de  TB MR  reforçadas"/>
    <s v="PNLT"/>
    <x v="0"/>
    <n v="3"/>
    <n v="92.8"/>
    <n v="92.8"/>
    <n v="0"/>
    <n v="185.6"/>
    <m/>
    <m/>
    <m/>
    <m/>
    <n v="185.6"/>
    <m/>
    <m/>
  </r>
  <r>
    <n v="141"/>
    <s v="7.33"/>
    <s v="Rever e alinhar o Plano S &amp; A TBMR  ao caneta 2013-2017"/>
    <x v="1"/>
    <x v="3"/>
    <n v="2"/>
    <x v="11"/>
    <m/>
    <m/>
    <s v="PNLT"/>
    <x v="1"/>
    <s v="Criar um grupo de trabalho de 10 pessoas durante 3 dias"/>
    <n v="6502.8"/>
    <n v="0"/>
    <n v="0"/>
    <n v="6502.8"/>
    <n v="6502.8"/>
    <m/>
    <m/>
    <m/>
    <m/>
    <m/>
    <m/>
  </r>
  <r>
    <n v="142"/>
    <s v="7.34"/>
    <s v="Elaborar directrizes de vigilância de TBMR"/>
    <x v="1"/>
    <x v="1"/>
    <n v="5"/>
    <x v="11"/>
    <m/>
    <s v="Capacidades de PNLT para gestão de  TB MR  reforçadas"/>
    <s v="PNLT"/>
    <x v="10"/>
    <n v="1"/>
    <n v="0"/>
    <n v="0"/>
    <n v="0"/>
    <n v="0"/>
    <m/>
    <m/>
    <n v="0"/>
    <m/>
    <m/>
    <m/>
    <m/>
  </r>
  <r>
    <n v="143"/>
    <s v="7.35"/>
    <s v="Doptar o PNLT de um ponto focal de TBMR  "/>
    <x v="1"/>
    <x v="1"/>
    <n v="5"/>
    <x v="11"/>
    <m/>
    <s v="Capacidades de PNLT para gestão de  TB MR  reforçadas"/>
    <s v="PNLT"/>
    <x v="10"/>
    <n v="1"/>
    <n v="0"/>
    <n v="0"/>
    <n v="0"/>
    <n v="0"/>
    <n v="0"/>
    <n v="0"/>
    <n v="0"/>
    <n v="0"/>
    <n v="0"/>
    <m/>
    <n v="0"/>
  </r>
  <r>
    <n v="144"/>
    <s v="7.36"/>
    <s v="Reforçar a capacidade (formar e reciclar) dos quadros para a gestão de TBMR"/>
    <x v="1"/>
    <x v="1"/>
    <n v="5"/>
    <x v="11"/>
    <m/>
    <s v="Capacidades de PNLT para gestão de  TB MR  reforçadas"/>
    <s v="PNLT"/>
    <x v="10"/>
    <n v="1"/>
    <n v="0"/>
    <n v="0"/>
    <n v="0"/>
    <n v="0"/>
    <m/>
    <m/>
    <m/>
    <m/>
    <m/>
    <m/>
    <n v="0"/>
  </r>
  <r>
    <n v="145"/>
    <s v="7.37"/>
    <s v="Elaborar o plano nacional para controlo da infecção tuberculina em São Tomé e Príncipe até finais de 2015"/>
    <x v="1"/>
    <x v="1"/>
    <n v="5"/>
    <x v="11"/>
    <m/>
    <s v="Elaborar o plano nacional para o controlo da infecção tuberculosa em STP até final de 2015"/>
    <s v="PNLT"/>
    <x v="10"/>
    <n v="1"/>
    <n v="9538.8791176069535"/>
    <n v="0"/>
    <n v="0"/>
    <n v="9538.8791176069535"/>
    <m/>
    <m/>
    <n v="9538.8791176069535"/>
    <m/>
    <m/>
    <m/>
    <m/>
  </r>
  <r>
    <n v="146"/>
    <s v="7.38"/>
    <s v="Aquisiçãode meios de  protecção individual contra a infecção tuberculosa (máscaras respiradoras)"/>
    <x v="1"/>
    <x v="1"/>
    <n v="5"/>
    <x v="14"/>
    <m/>
    <s v="Capacidades de PNLT para gestão de  TB MR  reforçadas"/>
    <s v="PNUD"/>
    <x v="5"/>
    <n v="1"/>
    <n v="24500"/>
    <n v="24500"/>
    <n v="24500"/>
    <n v="73500"/>
    <n v="73500"/>
    <m/>
    <m/>
    <m/>
    <m/>
    <m/>
    <m/>
  </r>
  <r>
    <n v="147"/>
    <s v="7.39"/>
    <s v="Formar 150 profissionais de saúde no controlo da infecção  eTB MR nas unidades sanitárias"/>
    <x v="1"/>
    <x v="1"/>
    <n v="5"/>
    <x v="14"/>
    <m/>
    <s v="Capacidades de PNLT para gestão de  TB MR  reforçadas"/>
    <s v="ISVSM"/>
    <x v="10"/>
    <n v="1"/>
    <n v="33095.1"/>
    <n v="33095.1"/>
    <n v="0"/>
    <n v="66190.2"/>
    <n v="66190.2"/>
    <m/>
    <m/>
    <m/>
    <m/>
    <m/>
    <m/>
  </r>
  <r>
    <n v="148"/>
    <s v="7.40"/>
    <s v="Realizar um inquérito sobre a aplicação das normas internacionais de controlo da infecção TBMR "/>
    <x v="0"/>
    <x v="3"/>
    <n v="2"/>
    <x v="14"/>
    <m/>
    <s v="Capacidades de PNLT para gestão de  TB MR  reforçadas"/>
    <s v="PNLT"/>
    <x v="1"/>
    <n v="2"/>
    <n v="15000"/>
    <n v="0"/>
    <n v="0"/>
    <n v="15000"/>
    <m/>
    <m/>
    <m/>
    <m/>
    <m/>
    <m/>
    <n v="15000"/>
  </r>
  <r>
    <n v="149"/>
    <s v="7.41"/>
    <s v="Elaborar e multiplicar os materiais de sensibilização dos membros da comunidade sob controlo da infecção"/>
    <x v="1"/>
    <x v="1"/>
    <n v="5"/>
    <x v="13"/>
    <m/>
    <s v="Capacidades de PNLT para gestão de  TB MR  reforçadas"/>
    <s v="PNLT"/>
    <x v="6"/>
    <n v="1"/>
    <n v="0"/>
    <n v="0"/>
    <n v="0"/>
    <n v="0"/>
    <n v="0"/>
    <m/>
    <m/>
    <m/>
    <m/>
    <m/>
    <m/>
  </r>
  <r>
    <n v="150"/>
    <s v="7.42"/>
    <s v="Realizar um estudo para a reabilitação/adaptação das infraestruturas de tratamento da TB. Segundo as normas internacionais de controlo da infecção"/>
    <x v="0"/>
    <x v="1"/>
    <n v="5"/>
    <x v="11"/>
    <m/>
    <s v="Capacidades de PNLT para gestão de  TB MR  reforçadas"/>
    <s v="PNLT"/>
    <x v="10"/>
    <n v="2"/>
    <n v="10583.9"/>
    <n v="0"/>
    <n v="0"/>
    <n v="10583.9"/>
    <m/>
    <m/>
    <m/>
    <m/>
    <m/>
    <m/>
    <n v="10583.9"/>
  </r>
  <r>
    <n v="151"/>
    <s v="7.43"/>
    <s v="Elaborar as normas nacionais para construção de Insfrestruturas de saúde em STP, até final de 2014"/>
    <x v="1"/>
    <x v="1"/>
    <n v="5"/>
    <x v="11"/>
    <m/>
    <s v="Capacidades de PNLT para gestão de  TB MR  reforçadas"/>
    <s v="PNLT"/>
    <x v="4"/>
    <s v="Criar um grupo de trabalho"/>
    <n v="0"/>
    <n v="5857.5"/>
    <n v="0"/>
    <n v="5857.5"/>
    <m/>
    <m/>
    <n v="5857.5"/>
    <m/>
    <m/>
    <m/>
    <m/>
  </r>
</pivotCacheRecords>
</file>

<file path=xl/pivotCache/pivotCacheRecords6.xml><?xml version="1.0" encoding="utf-8"?>
<pivotCacheRecords xmlns="http://schemas.openxmlformats.org/spreadsheetml/2006/main" xmlns:r="http://schemas.openxmlformats.org/officeDocument/2006/relationships" count="155">
  <r>
    <n v="1"/>
    <s v="1.1.1"/>
    <s v="Elaborar e imprimir edivulgar plano de advocacia,  "/>
    <n v="2"/>
    <x v="0"/>
    <n v="1"/>
    <x v="0"/>
    <s v="Numero de documentos elaborados e disponíveis"/>
    <s v="As capacidades gestionárias do programa reforçadas"/>
    <n v="0"/>
    <n v="0"/>
    <n v="7778.35"/>
    <n v="0"/>
    <n v="0"/>
    <n v="7778.35"/>
    <m/>
    <m/>
    <m/>
    <m/>
    <m/>
    <m/>
    <n v="7778.35"/>
  </r>
  <r>
    <n v="2"/>
    <s v="1.1.2"/>
    <s v="Elaborar/Rever e imprimir  plano anual operacional de implementação"/>
    <n v="1"/>
    <x v="0"/>
    <n v="1"/>
    <x v="0"/>
    <s v="Numero de documentos elaborados e disponíveis"/>
    <s v="As capacidades gestionárias do programa reforçadas"/>
    <n v="6177.64"/>
    <n v="6177.64"/>
    <n v="6177.64"/>
    <n v="6177.64"/>
    <n v="6177.64"/>
    <n v="30888.2"/>
    <n v="30888.2"/>
    <m/>
    <m/>
    <m/>
    <m/>
    <m/>
    <m/>
  </r>
  <r>
    <n v="3"/>
    <s v="1.1.3"/>
    <s v="Elaborar  e imprimir  plano de mobilização da recurso"/>
    <n v="3"/>
    <x v="0"/>
    <n v="1"/>
    <x v="0"/>
    <s v="Numero de documentos elaborados e disponíveis"/>
    <s v="As capacidades gestionárias do programa reforçadas"/>
    <n v="0"/>
    <n v="0"/>
    <n v="3315.83"/>
    <n v="0"/>
    <n v="3315.83"/>
    <n v="6631.66"/>
    <m/>
    <m/>
    <m/>
    <m/>
    <m/>
    <m/>
    <n v="6631.66"/>
  </r>
  <r>
    <n v="4"/>
    <s v="1.1.4"/>
    <s v="Elaborar  e imprimir  plano de formação"/>
    <n v="1"/>
    <x v="0"/>
    <n v="1"/>
    <x v="0"/>
    <s v="Numero de documentos elaborados e disponíveis"/>
    <s v="As capacidades gestionárias do programa reforçadas"/>
    <n v="1905.11"/>
    <n v="1905.11"/>
    <n v="1905.11"/>
    <n v="1905.11"/>
    <n v="1905.11"/>
    <n v="9525.5499999999993"/>
    <n v="9525.5499999999993"/>
    <m/>
    <m/>
    <m/>
    <m/>
    <m/>
    <m/>
  </r>
  <r>
    <n v="5"/>
    <s v="1.1.5"/>
    <s v="Elaborar  e imprimir  plano TB MR"/>
    <n v="3"/>
    <x v="0"/>
    <n v="1"/>
    <x v="0"/>
    <s v="Numero de documentos elaborados e disponíveis"/>
    <s v="As capacidades gestionárias do programa reforçadas"/>
    <n v="2951.1100000000006"/>
    <n v="2951.1100000000006"/>
    <n v="2951.1100000000006"/>
    <n v="2951.1100000000006"/>
    <n v="2951.1100000000006"/>
    <n v="14755.550000000003"/>
    <n v="14755.550000000003"/>
    <m/>
    <m/>
    <m/>
    <m/>
    <m/>
    <m/>
  </r>
  <r>
    <n v="6"/>
    <s v="1.1.6"/>
    <s v="Elaborar  e imprimir  manual de procedimento administrativo, "/>
    <n v="3"/>
    <x v="0"/>
    <n v="1"/>
    <x v="0"/>
    <s v="Numero de documentos elaborados e disponíveis"/>
    <s v="As capacidades gestionárias do programa reforçadas"/>
    <n v="2224.0974999999999"/>
    <n v="0"/>
    <n v="0"/>
    <n v="0"/>
    <n v="0"/>
    <n v="2224.0974999999999"/>
    <m/>
    <m/>
    <m/>
    <m/>
    <m/>
    <m/>
    <n v="2224.0974999999999"/>
  </r>
  <r>
    <n v="7"/>
    <s v="1.1.7"/>
    <s v="Elaborar  e imprimir  politica sobre a gestão de medicamentos, "/>
    <n v="2"/>
    <x v="0"/>
    <n v="1"/>
    <x v="0"/>
    <s v="Numero de documentos elaborados e disponíveis"/>
    <s v="As capacidades gestionárias do programa reforçadas"/>
    <n v="0"/>
    <m/>
    <n v="4963.0599999999995"/>
    <n v="0"/>
    <n v="0"/>
    <n v="4963.0599999999995"/>
    <m/>
    <m/>
    <n v="4963.0599999999995"/>
    <m/>
    <m/>
    <m/>
    <m/>
  </r>
  <r>
    <n v="8"/>
    <s v="1.1.7.1"/>
    <s v="Multiplicar e disseminar 100 exemplares de modulo de formação em manejo de casos de TB"/>
    <n v="1"/>
    <x v="0"/>
    <n v="1"/>
    <x v="0"/>
    <m/>
    <s v="As capacidades gestionárias do programa reforçadas"/>
    <n v="0"/>
    <m/>
    <n v="582.78000000000009"/>
    <n v="0"/>
    <n v="0"/>
    <n v="582.78000000000009"/>
    <m/>
    <m/>
    <m/>
    <m/>
    <m/>
    <m/>
    <n v="582.78000000000009"/>
  </r>
  <r>
    <n v="9"/>
    <s v="1.1.8"/>
    <s v="Revisão  e impressãodo guia de supervisão) "/>
    <n v="1"/>
    <x v="0"/>
    <n v="1"/>
    <x v="0"/>
    <s v="Numero de documentos elaborados e disponíveis"/>
    <s v="As capacidades gestionárias do programa reforçadas"/>
    <n v="0"/>
    <m/>
    <n v="0"/>
    <n v="2058.5600000000004"/>
    <n v="0"/>
    <n v="2058.5600000000004"/>
    <n v="2058.5600000000004"/>
    <m/>
    <m/>
    <m/>
    <m/>
    <m/>
    <m/>
  </r>
  <r>
    <n v="10"/>
    <s v="1.1.9"/>
    <s v="Descrição de atribuições das vagas a criar (TDR)"/>
    <n v="3"/>
    <x v="0"/>
    <n v="1"/>
    <x v="0"/>
    <s v="Numero de documentos elaborados e disponíveis"/>
    <s v="As capacidades gestionárias do programa reforçadas"/>
    <n v="80"/>
    <n v="0"/>
    <n v="0"/>
    <n v="0"/>
    <n v="0"/>
    <n v="80"/>
    <m/>
    <m/>
    <m/>
    <m/>
    <n v="80"/>
    <m/>
    <m/>
  </r>
  <r>
    <n v="11"/>
    <s v="1.1.10"/>
    <s v="Criar e dotar vagas para o PNLT"/>
    <n v="1"/>
    <x v="0"/>
    <n v="1"/>
    <x v="0"/>
    <m/>
    <s v="As capacidades gestionárias do programa reforçadas"/>
    <n v="0"/>
    <m/>
    <m/>
    <m/>
    <m/>
    <n v="0"/>
    <n v="0"/>
    <n v="0"/>
    <n v="0"/>
    <n v="0"/>
    <n v="0"/>
    <m/>
    <n v="0"/>
  </r>
  <r>
    <n v="12"/>
    <s v="1.1.11"/>
    <s v="Atribuição da nova grelha salarial à equipa  PNLT"/>
    <n v="1"/>
    <x v="0"/>
    <n v="1"/>
    <x v="0"/>
    <m/>
    <s v="As capacidades gestionárias do programa reforçadas"/>
    <n v="60330"/>
    <n v="60330"/>
    <n v="60330"/>
    <n v="60330"/>
    <n v="60330"/>
    <n v="301650"/>
    <n v="301650"/>
    <m/>
    <m/>
    <m/>
    <m/>
    <m/>
    <m/>
  </r>
  <r>
    <n v="13"/>
    <s v="1.1.12"/>
    <s v="Atelier de 3 dias para a Revisão do Guia de laboratório (10 participantes)"/>
    <n v="1"/>
    <x v="0"/>
    <n v="1"/>
    <x v="0"/>
    <m/>
    <s v="As capacidades gestionárias do programa reforçadas"/>
    <n v="0"/>
    <n v="1804.6575"/>
    <n v="0"/>
    <n v="0"/>
    <n v="0"/>
    <n v="1804.6575"/>
    <m/>
    <n v="1804.6575"/>
    <m/>
    <m/>
    <m/>
    <m/>
    <m/>
  </r>
  <r>
    <n v="14"/>
    <s v="1.2.1"/>
    <s v="Formação em Gestão do Programa 3 pessoas"/>
    <n v="1"/>
    <x v="0"/>
    <n v="1"/>
    <x v="0"/>
    <s v="Numero de pessoal formado"/>
    <s v="As capacidades gestionárias do programa reforçadas"/>
    <n v="11876"/>
    <n v="11876"/>
    <n v="11876"/>
    <n v="0"/>
    <n v="0"/>
    <n v="35628"/>
    <n v="35628"/>
    <m/>
    <m/>
    <m/>
    <m/>
    <m/>
    <m/>
  </r>
  <r>
    <n v="15"/>
    <s v="1.2.2"/>
    <s v=" Formação em gestão da TB 15 pessoas"/>
    <n v="1"/>
    <x v="0"/>
    <n v="1"/>
    <x v="0"/>
    <s v="Numero de pessoal formado"/>
    <s v="As capacidades gestionárias do programa reforçadas"/>
    <n v="0"/>
    <n v="3696.08"/>
    <n v="0"/>
    <n v="0"/>
    <n v="0"/>
    <n v="3696.08"/>
    <n v="3696.08"/>
    <m/>
    <m/>
    <m/>
    <m/>
    <m/>
    <m/>
  </r>
  <r>
    <n v="16"/>
    <s v="1.2.3"/>
    <s v="Formação em saúde pública 2 pessoas"/>
    <n v="2"/>
    <x v="0"/>
    <n v="1"/>
    <x v="0"/>
    <s v="Numero de pessoal formado"/>
    <s v="As capacidades gestionárias do programa reforçadas"/>
    <n v="0"/>
    <n v="0"/>
    <n v="60152"/>
    <n v="0"/>
    <n v="0"/>
    <n v="60152"/>
    <m/>
    <m/>
    <m/>
    <m/>
    <m/>
    <m/>
    <n v="60152"/>
  </r>
  <r>
    <n v="17"/>
    <s v="1.2.4"/>
    <s v="Formação em gestão administrativa 1 pessoa"/>
    <n v="1"/>
    <x v="0"/>
    <n v="1"/>
    <x v="0"/>
    <s v="Numero de pessoal formado"/>
    <s v="As capacidades gestionárias do programa reforçadas"/>
    <n v="0"/>
    <n v="0"/>
    <n v="10376"/>
    <n v="0"/>
    <n v="0"/>
    <n v="10376"/>
    <m/>
    <m/>
    <m/>
    <m/>
    <m/>
    <m/>
    <n v="10376"/>
  </r>
  <r>
    <n v="18"/>
    <s v="1.2.5"/>
    <s v="Formação em Seguimento e avaliação 2 pessoas"/>
    <n v="1"/>
    <x v="1"/>
    <n v="2"/>
    <x v="1"/>
    <s v="Numero de pessoal formado"/>
    <s v="As capacidades gestionárias do programa reforçadas"/>
    <n v="0"/>
    <n v="0"/>
    <n v="38152"/>
    <n v="38152"/>
    <n v="0"/>
    <n v="76304"/>
    <m/>
    <m/>
    <m/>
    <m/>
    <m/>
    <m/>
    <n v="76304"/>
  </r>
  <r>
    <n v="19"/>
    <s v="1.2.6"/>
    <s v="Formar 3 pessoas (2 farmácia e 1 medico de programa) em gestão e aprovisionamento de medicamentos "/>
    <n v="1"/>
    <x v="0"/>
    <n v="1"/>
    <x v="2"/>
    <s v="Numero de pessoal formado"/>
    <s v="As capacidades gestionárias do programa reforçadas"/>
    <n v="0"/>
    <n v="0"/>
    <n v="20752"/>
    <m/>
    <n v="0"/>
    <n v="20752"/>
    <n v="20752"/>
    <m/>
    <m/>
    <m/>
    <m/>
    <m/>
    <m/>
  </r>
  <r>
    <n v="20"/>
    <s v="1.2.7"/>
    <s v="Formar 12 Técnicos de Farmácia (6 CDT, 1 RAP, 3 HAM e 2 FNM) em gestão de medicamentos (1 sessão de 5 dias no Ano 1) "/>
    <n v="1"/>
    <x v="0"/>
    <n v="1"/>
    <x v="2"/>
    <s v="Numero de pessoal formado"/>
    <s v="As capacidades gestionárias do programa reforçadas"/>
    <n v="0"/>
    <n v="0"/>
    <n v="4103.0599999999995"/>
    <n v="0"/>
    <n v="0"/>
    <n v="4103.0599999999995"/>
    <n v="4103.0599999999995"/>
    <m/>
    <m/>
    <m/>
    <m/>
    <m/>
    <m/>
  </r>
  <r>
    <n v="21"/>
    <s v="1.2.8"/>
    <s v="Reciclar 12 Técnicos de Farmácia (6 CDT, 1 RAP, 3 HAM e 2 FNM) em gestão de medicamentos (1 sessão de 5 dias no Ano 3) "/>
    <n v="2"/>
    <x v="0"/>
    <n v="1"/>
    <x v="2"/>
    <s v="Numero de pessoal formado"/>
    <s v="As capacidades gestionárias do programa reforçadas"/>
    <m/>
    <m/>
    <m/>
    <m/>
    <n v="4103.0599999999995"/>
    <n v="4103.0599999999995"/>
    <m/>
    <m/>
    <m/>
    <m/>
    <m/>
    <m/>
    <n v="4103.0599999999995"/>
  </r>
  <r>
    <n v="22"/>
    <s v="1.3"/>
    <s v=" Advocacia para criar e dotar vagas para o PNLT (Um Director do programa médicos (2), enfermeira ( 1) seguimento  e avaliação, uma técnica de laboratório(1), um técnico de farmácia (1), secretaria (1),  técnico administrativo (1), motorista(1), assistente pedagógica até 2017"/>
    <n v="1"/>
    <x v="0"/>
    <n v="1"/>
    <x v="0"/>
    <s v="Numero de lugares criados dotados"/>
    <s v="As capacidades gestionárias do programa reforçadas"/>
    <n v="185"/>
    <n v="0"/>
    <n v="0"/>
    <n v="0"/>
    <n v="0"/>
    <n v="185"/>
    <m/>
    <m/>
    <m/>
    <m/>
    <n v="185"/>
    <m/>
    <m/>
  </r>
  <r>
    <n v="23"/>
    <s v="1.4"/>
    <s v="Realizar Semestralmente e trimestralmente encontros de coordenação entre os diferentes parceiros "/>
    <n v="3"/>
    <x v="0"/>
    <n v="1"/>
    <x v="0"/>
    <s v="Numero de relatórios das reuniões disponíveis"/>
    <s v="As capacidades gestionárias do programa reforçadas"/>
    <n v="366.67"/>
    <n v="366.67"/>
    <n v="366.67"/>
    <n v="366.67"/>
    <n v="366.67"/>
    <n v="1833.3500000000001"/>
    <n v="1833.3500000000001"/>
    <m/>
    <m/>
    <m/>
    <m/>
    <m/>
    <m/>
  </r>
  <r>
    <n v="24"/>
    <s v="1.4.1"/>
    <s v="Realizar trimestralmente encontros de coordenação entre os diferentes níveis"/>
    <n v="1"/>
    <x v="0"/>
    <n v="1"/>
    <x v="0"/>
    <m/>
    <s v="As capacidades gestionárias do programa reforçadas"/>
    <n v="1450"/>
    <n v="1450"/>
    <n v="1450"/>
    <n v="1450"/>
    <n v="5426"/>
    <n v="11226"/>
    <n v="11226"/>
    <m/>
    <m/>
    <m/>
    <m/>
    <m/>
    <m/>
  </r>
  <r>
    <n v="25"/>
    <s v="1.5.1"/>
    <s v="Aquisição de materiais equipamento de escritório, e comunicação)"/>
    <n v="1"/>
    <x v="0"/>
    <n v="1"/>
    <x v="3"/>
    <s v="Numero de relatório técnicos e financeiros"/>
    <s v="As capacidades gestionárias do programa reforçadas"/>
    <n v="5904.7700000000013"/>
    <n v="5904.7700000000013"/>
    <n v="5904.7700000000013"/>
    <n v="5904.7700000000013"/>
    <n v="5904.7700000000013"/>
    <n v="29523.850000000006"/>
    <m/>
    <m/>
    <m/>
    <m/>
    <m/>
    <m/>
    <n v="29523.850000000006"/>
  </r>
  <r>
    <n v="26"/>
    <s v="1.5.2"/>
    <s v="Assegurar o funcionamento do PNLT"/>
    <n v="1"/>
    <x v="0"/>
    <n v="1"/>
    <x v="3"/>
    <m/>
    <s v="As capacidades gestionárias do programa reforçadas"/>
    <n v="5074.08"/>
    <n v="5074.08"/>
    <n v="5074.08"/>
    <n v="5074.08"/>
    <n v="5074.08"/>
    <n v="25370.400000000001"/>
    <n v="25370.400000000001"/>
    <m/>
    <m/>
    <m/>
    <m/>
    <m/>
    <m/>
  </r>
  <r>
    <s v="26.1"/>
    <s v="1.5.2.1"/>
    <s v="Assegurar o funcionamento das Unidades Sanitárias no processo de descentralização da  estratégia DOT"/>
    <n v="1"/>
    <x v="0"/>
    <n v="1"/>
    <x v="3"/>
    <m/>
    <m/>
    <m/>
    <n v="65308.936739930832"/>
    <n v="70573.580274461681"/>
    <n v="78101.305366506771"/>
    <n v="85911.435903157457"/>
    <n v="299895.25828405673"/>
    <m/>
    <m/>
    <m/>
    <m/>
    <n v="299895.25828405673"/>
    <m/>
    <m/>
  </r>
  <r>
    <n v="27"/>
    <s v="1.5.3"/>
    <s v="Assegurar o funcionamento do PNLT (Seguro de Transporte de PNLT)"/>
    <n v="1"/>
    <x v="0"/>
    <n v="1"/>
    <x v="3"/>
    <m/>
    <s v="As capacidades gestionárias do programa reforçadas"/>
    <n v="6306.48"/>
    <n v="6306.48"/>
    <n v="6306.48"/>
    <n v="6306.48"/>
    <n v="6306.48"/>
    <n v="31532.399999999998"/>
    <n v="31532.399999999998"/>
    <m/>
    <m/>
    <m/>
    <m/>
    <m/>
    <m/>
  </r>
  <r>
    <n v="28"/>
    <s v="1.5.4"/>
    <s v="Assegurar o funcionamento do PNLT (Manutenção de viatura)"/>
    <n v="1"/>
    <x v="0"/>
    <n v="1"/>
    <x v="3"/>
    <m/>
    <s v="As capacidades gestionárias do programa reforçadas"/>
    <n v="8320"/>
    <n v="8320"/>
    <n v="8320"/>
    <n v="8320"/>
    <n v="8320"/>
    <n v="41600"/>
    <n v="41600"/>
    <m/>
    <m/>
    <m/>
    <m/>
    <m/>
    <m/>
  </r>
  <r>
    <n v="29"/>
    <s v="1.6.1"/>
    <s v="Aquisição de 1 viatura"/>
    <n v="1"/>
    <x v="0"/>
    <n v="1"/>
    <x v="3"/>
    <m/>
    <s v="As capacidades gestionárias do programa reforçadas"/>
    <n v="0"/>
    <n v="0"/>
    <n v="32240"/>
    <n v="0"/>
    <n v="0"/>
    <n v="32240"/>
    <n v="32240"/>
    <m/>
    <m/>
    <m/>
    <m/>
    <m/>
    <m/>
  </r>
  <r>
    <n v="30"/>
    <s v="1.6.2"/>
    <s v="Aquisição de 7 KIT informático"/>
    <n v="1"/>
    <x v="0"/>
    <n v="1"/>
    <x v="3"/>
    <m/>
    <s v="As capacidades gestionárias do programa reforçadas"/>
    <n v="0"/>
    <n v="0"/>
    <n v="23611.11"/>
    <n v="0"/>
    <n v="0"/>
    <n v="23611.11"/>
    <n v="23611.11"/>
    <m/>
    <m/>
    <m/>
    <m/>
    <m/>
    <m/>
  </r>
  <r>
    <n v="31"/>
    <s v="1.6.3"/>
    <s v="Contratar uma empresa para assegurar a manutenção dos equipamentos (informático, frigoríficos, ar condicionados, a) contínuo durante 5 anos"/>
    <n v="2"/>
    <x v="0"/>
    <n v="1"/>
    <x v="3"/>
    <m/>
    <s v="As capacidades gestionárias do programa reforçadas"/>
    <n v="1284"/>
    <n v="1284"/>
    <n v="1284"/>
    <n v="1284"/>
    <n v="1284"/>
    <n v="6420"/>
    <m/>
    <m/>
    <m/>
    <m/>
    <m/>
    <m/>
    <n v="6420"/>
  </r>
  <r>
    <n v="32"/>
    <s v="1.6.4"/>
    <s v="Aquisição de 2 aparelho de medição da temperatura do ambiente – registo durante 24 horas"/>
    <n v="1"/>
    <x v="0"/>
    <n v="1"/>
    <x v="2"/>
    <m/>
    <s v="As capacidades gestionárias do programa reforçadas"/>
    <n v="0"/>
    <n v="0"/>
    <n v="7000"/>
    <n v="0"/>
    <n v="0"/>
    <n v="7000"/>
    <n v="7000"/>
    <m/>
    <m/>
    <m/>
    <m/>
    <m/>
    <m/>
  </r>
  <r>
    <n v="33"/>
    <s v="1.6.4.1"/>
    <s v="Assegurar o funcionamento do aparelho de medição da temperatura do ambiente – rolo de registo de oscilação "/>
    <n v="1"/>
    <x v="0"/>
    <n v="1"/>
    <x v="2"/>
    <m/>
    <s v="As capacidades gestionárias do programa reforçadas"/>
    <m/>
    <n v="0"/>
    <n v="5100"/>
    <m/>
    <n v="5100"/>
    <n v="10200"/>
    <n v="10200"/>
    <m/>
    <m/>
    <m/>
    <m/>
    <m/>
    <m/>
  </r>
  <r>
    <n v="34"/>
    <s v="1.6.4.2"/>
    <s v="Contratar uma empresa para assegurar a manutenção dos equipamentos (aparelho de medição de temperatura) contínuo durante 5 anos"/>
    <n v="1"/>
    <x v="0"/>
    <n v="1"/>
    <x v="2"/>
    <m/>
    <s v="As capacidades gestionárias do programa reforçadas"/>
    <m/>
    <m/>
    <n v="700"/>
    <n v="700"/>
    <n v="700"/>
    <n v="2100"/>
    <n v="2100"/>
    <m/>
    <m/>
    <m/>
    <m/>
    <m/>
    <m/>
  </r>
  <r>
    <n v="35"/>
    <s v="1.6.5"/>
    <s v="Aquisição de 10 motorizada para distritos) até 2018"/>
    <m/>
    <x v="0"/>
    <n v="1"/>
    <x v="3"/>
    <m/>
    <s v="As capacidades gestionárias do programa reforçadas"/>
    <n v="28333.4"/>
    <n v="0"/>
    <n v="0"/>
    <n v="0"/>
    <n v="0"/>
    <n v="28333.4"/>
    <n v="28333.4"/>
    <m/>
    <m/>
    <m/>
    <m/>
    <m/>
    <m/>
  </r>
  <r>
    <n v="36"/>
    <s v="1.7"/>
    <s v="Assistência Tecnica internacional para Criar um sistema de incentivos (individuais e colectivos, financeiros e não financeiros) baseados no desempenho"/>
    <n v="3"/>
    <x v="0"/>
    <n v="1"/>
    <x v="0"/>
    <m/>
    <s v="As capacidades gestionárias do programa reforçadas"/>
    <n v="0"/>
    <n v="0"/>
    <n v="16825"/>
    <n v="0"/>
    <n v="0"/>
    <n v="16825"/>
    <m/>
    <m/>
    <m/>
    <m/>
    <m/>
    <m/>
    <n v="16825"/>
  </r>
  <r>
    <n v="37"/>
    <s v="1.8"/>
    <s v="Realizar  Supervisão de gestão de medicamentos (RAP semestralmente)"/>
    <n v="1"/>
    <x v="0"/>
    <n v="1"/>
    <x v="0"/>
    <s v="Numero de supervisões realizadas"/>
    <s v="As capacidades gestionárias do programa reforçadas"/>
    <n v="2313.6899999999996"/>
    <n v="2313.6899999999996"/>
    <n v="2313.6899999999996"/>
    <n v="2313.6899999999996"/>
    <n v="2313.6899999999996"/>
    <n v="11568.449999999997"/>
    <n v="11568.449999999997"/>
    <m/>
    <m/>
    <m/>
    <m/>
    <m/>
    <m/>
  </r>
  <r>
    <n v="38"/>
    <s v="1.9"/>
    <s v="Aquisição de Combustível para transporte (distribuição de medicamentos) e gerador (50 Lt por mês para Gerador) durante 5 anos"/>
    <n v="1"/>
    <x v="0"/>
    <n v="1"/>
    <x v="3"/>
    <m/>
    <s v="As capacidades gestionárias do programa reforçadas"/>
    <n v="1713.6"/>
    <n v="1713.6"/>
    <n v="1713.6"/>
    <n v="1713.6"/>
    <n v="1713.6"/>
    <n v="8568"/>
    <n v="8568"/>
    <m/>
    <m/>
    <m/>
    <m/>
    <m/>
    <m/>
  </r>
  <r>
    <n v="39"/>
    <s v="1.10"/>
    <s v="Assegurar envio de medicamentos e outros consumíveis para RAP"/>
    <n v="1"/>
    <x v="0"/>
    <n v="1"/>
    <x v="3"/>
    <m/>
    <s v="As capacidades gestionárias do programa reforçadas"/>
    <n v="400"/>
    <n v="400"/>
    <n v="400"/>
    <n v="400"/>
    <n v="400"/>
    <n v="2000"/>
    <m/>
    <m/>
    <m/>
    <m/>
    <n v="2000"/>
    <m/>
    <m/>
  </r>
  <r>
    <n v="40"/>
    <s v="1.11"/>
    <s v="Adquirir/adaptar base de dado para gestão de stok dos medicamentos (FNM)"/>
    <n v="1"/>
    <x v="0"/>
    <n v="1"/>
    <x v="3"/>
    <m/>
    <s v="As capacidades gestionárias do programa reforçadas"/>
    <n v="0"/>
    <n v="0"/>
    <n v="16084"/>
    <n v="0"/>
    <n v="0"/>
    <n v="16084"/>
    <n v="16084"/>
    <m/>
    <m/>
    <m/>
    <m/>
    <m/>
    <m/>
  </r>
  <r>
    <n v="41"/>
    <s v="1.12"/>
    <s v="Formação em utilização do softwer para gestão de stok dos medicamentos (FNM)"/>
    <n v="1"/>
    <x v="0"/>
    <n v="1"/>
    <x v="3"/>
    <m/>
    <s v="As capacidades gestionárias do programa reforçadas"/>
    <n v="0"/>
    <n v="0"/>
    <n v="5748.5"/>
    <n v="0"/>
    <n v="5748.5"/>
    <n v="11497"/>
    <n v="11497"/>
    <m/>
    <m/>
    <m/>
    <m/>
    <m/>
    <m/>
  </r>
  <r>
    <n v="42"/>
    <s v="1.13"/>
    <s v="Formar 15 técnicos na instalação de uma base de dados (SPSS) da TB, 1 sessão de 5 dias."/>
    <n v="3"/>
    <x v="0"/>
    <n v="1"/>
    <x v="0"/>
    <m/>
    <s v="As capacidades gestionárias do programa reforçadas"/>
    <n v="0"/>
    <n v="0"/>
    <n v="4411.3900000000003"/>
    <n v="0"/>
    <n v="0"/>
    <n v="4411.3900000000003"/>
    <m/>
    <m/>
    <m/>
    <m/>
    <m/>
    <m/>
    <n v="4411.3900000000003"/>
  </r>
  <r>
    <n v="43"/>
    <s v="2.1"/>
    <s v="Recrutar e afectar 1 técnico de Seguimento e Avaliação do PNLT"/>
    <n v="1"/>
    <x v="1"/>
    <n v="2"/>
    <x v="1"/>
    <s v="Técnico recrutado"/>
    <s v="Sistema de seguimento e avaliação do Programa fortalecido"/>
    <n v="8700"/>
    <n v="8700"/>
    <m/>
    <m/>
    <m/>
    <n v="17400"/>
    <n v="17400"/>
    <m/>
    <m/>
    <m/>
    <m/>
    <m/>
    <m/>
  </r>
  <r>
    <n v="44"/>
    <s v="2.2"/>
    <s v="Organizar atelier de 5 dias para actualizar e validação o plano de seguimento e avaliação e instrumento de colheita dos dados"/>
    <n v="1"/>
    <x v="1"/>
    <n v="2"/>
    <x v="1"/>
    <s v="Plano S&amp;A actualizado e disponivel"/>
    <s v="Sistema de seguimento e avaliação do Programa fortalecido"/>
    <n v="0"/>
    <n v="3356.39"/>
    <n v="0"/>
    <n v="0"/>
    <n v="0"/>
    <n v="3356.39"/>
    <n v="3356.39"/>
    <m/>
    <m/>
    <m/>
    <m/>
    <m/>
    <m/>
  </r>
  <r>
    <n v="45"/>
    <s v="2.2.1"/>
    <s v="Organizar um atelier de 5 jours para avaliação do cumprimento do plano de seguimento e avaliação"/>
    <n v="1"/>
    <x v="1"/>
    <n v="2"/>
    <x v="1"/>
    <m/>
    <s v="Sistema de seguimento e avaliação do Programa fortalecido"/>
    <n v="0"/>
    <n v="0"/>
    <m/>
    <n v="3356.39"/>
    <n v="0"/>
    <n v="3356.39"/>
    <n v="3356.39"/>
    <m/>
    <m/>
    <m/>
    <m/>
    <m/>
    <m/>
  </r>
  <r>
    <n v="46"/>
    <s v="2.3"/>
    <s v="Implementar o plano de seguimento e avaliação"/>
    <m/>
    <x v="1"/>
    <n v="2"/>
    <x v="1"/>
    <m/>
    <s v="Sistema de seguimento e avaliação do Programa fortalecido"/>
    <n v="0"/>
    <n v="0"/>
    <n v="0"/>
    <n v="0"/>
    <n v="0"/>
    <n v="0"/>
    <n v="0"/>
    <n v="0"/>
    <n v="0"/>
    <n v="0"/>
    <n v="0"/>
    <m/>
    <n v="0"/>
  </r>
  <r>
    <n v="47"/>
    <s v="2.4"/>
    <s v="Implementar o sistema de registo electrónico de dados TB "/>
    <n v="2"/>
    <x v="1"/>
    <n v="2"/>
    <x v="1"/>
    <s v="Sistema de registro electrónico funcional"/>
    <s v="Sistema de seguimento e avaliação do Programa fortalecido"/>
    <n v="0"/>
    <n v="1100"/>
    <n v="0"/>
    <n v="0"/>
    <n v="0"/>
    <n v="1100"/>
    <m/>
    <m/>
    <n v="1100"/>
    <m/>
    <m/>
    <m/>
    <m/>
  </r>
  <r>
    <n v="48"/>
    <s v="2.5"/>
    <s v="Produção e difusão de relatórios trimestrais "/>
    <n v="3"/>
    <x v="1"/>
    <n v="2"/>
    <x v="1"/>
    <s v="relatorios produzidos e difundidos"/>
    <s v="Sistema de seguimento e avaliação do Programa fortalecido"/>
    <n v="1593.33"/>
    <n v="1593.33"/>
    <n v="1593.33"/>
    <n v="1593.33"/>
    <n v="1593.33"/>
    <n v="7966.65"/>
    <n v="7966.65"/>
    <m/>
    <m/>
    <m/>
    <m/>
    <m/>
    <m/>
  </r>
  <r>
    <n v="49"/>
    <s v="2.6"/>
    <s v="Organizar a avaliação (interna e externa) do plano estratégico  "/>
    <n v="1"/>
    <x v="1"/>
    <n v="2"/>
    <x v="1"/>
    <s v="Relatorio da avaliação disponível)"/>
    <s v="Sistema de seguimento e avaliação do Programa fortalecido"/>
    <n v="0"/>
    <n v="0"/>
    <m/>
    <n v="20261.940000000002"/>
    <n v="0"/>
    <n v="20261.940000000002"/>
    <n v="20261.940000000002"/>
    <m/>
    <m/>
    <m/>
    <m/>
    <m/>
    <m/>
  </r>
  <r>
    <n v="50"/>
    <s v="2.7"/>
    <s v="Atelie de 5 dias com 10 técnicos estatísticos para preenchimento das fichas e livro de registo"/>
    <n v="3"/>
    <x v="1"/>
    <n v="2"/>
    <x v="1"/>
    <s v="Relatorio do atiliê"/>
    <s v="Sistema de seguimento e avaliação do Programa fortalecido"/>
    <n v="0"/>
    <n v="3141.11"/>
    <n v="3141.11"/>
    <m/>
    <n v="3141.11"/>
    <n v="9423.33"/>
    <n v="9423.33"/>
    <m/>
    <m/>
    <m/>
    <m/>
    <m/>
    <m/>
  </r>
  <r>
    <n v="51"/>
    <s v="2.8"/>
    <s v="Organizar encontro para restituição dos dados"/>
    <n v="3"/>
    <x v="1"/>
    <n v="2"/>
    <x v="1"/>
    <s v="Dados restituidos"/>
    <s v="Sistema de seguimento e avaliação do Programa fortalecido"/>
    <n v="0"/>
    <n v="374.67"/>
    <n v="374.67"/>
    <n v="374.67"/>
    <n v="374.67"/>
    <n v="1498.68"/>
    <n v="1498.68"/>
    <m/>
    <m/>
    <m/>
    <m/>
    <m/>
    <m/>
  </r>
  <r>
    <n v="52"/>
    <s v="3.1"/>
    <s v="Elaborar e reproduzir Kit de Comunicação com mensagens chaves de TB (folhetos, cartazes, bandeirolas, painel gigante e álbum seriado)(colocar antes das palestras)"/>
    <n v="1"/>
    <x v="2"/>
    <n v="3"/>
    <x v="4"/>
    <s v="Número de KIT elaborados e disponíveis"/>
    <s v="Conhecimento da população sobre a TB melhorado"/>
    <n v="3722.2200000000003"/>
    <n v="3722.2200000000003"/>
    <n v="3722.2200000000003"/>
    <n v="3722.2200000000003"/>
    <n v="3722.2200000000003"/>
    <n v="18611.100000000002"/>
    <n v="18611.100000000002"/>
    <m/>
    <m/>
    <m/>
    <m/>
    <m/>
    <m/>
  </r>
  <r>
    <n v="53"/>
    <s v="3.2"/>
    <s v="Elaborar/adaptar e difundir Spot televisivo e radiofónico"/>
    <n v="1"/>
    <x v="2"/>
    <n v="3"/>
    <x v="4"/>
    <s v="Numero de SPOT elaborados e difundidos"/>
    <s v="Conhecimento da população sobre a TB melhorado"/>
    <n v="3722.2200000000003"/>
    <n v="3722.2200000000003"/>
    <n v="3722.2200000000003"/>
    <n v="3722.2200000000003"/>
    <n v="3722.2200000000003"/>
    <n v="18611.100000000002"/>
    <n v="18611.100000000002"/>
    <m/>
    <m/>
    <m/>
    <m/>
    <m/>
    <m/>
  </r>
  <r>
    <n v="54"/>
    <s v="3.3"/>
    <s v="Realizar um Inquérito CAP"/>
    <n v="2"/>
    <x v="1"/>
    <n v="2"/>
    <x v="5"/>
    <s v="Relatorio de CAP disponível"/>
    <s v="Conhecimento da população sobre a TB melhorado"/>
    <n v="0"/>
    <n v="22000"/>
    <m/>
    <n v="22000"/>
    <n v="0"/>
    <n v="44000"/>
    <n v="44000"/>
    <m/>
    <m/>
    <m/>
    <m/>
    <m/>
    <m/>
  </r>
  <r>
    <s v="54.1"/>
    <s v="3.3.1"/>
    <s v="Realizar um Estudo sobre a mortalidade por TB"/>
    <n v="1"/>
    <x v="1"/>
    <n v="2"/>
    <x v="5"/>
    <m/>
    <m/>
    <m/>
    <m/>
    <n v="11000"/>
    <m/>
    <m/>
    <n v="11000"/>
    <n v="11000"/>
    <m/>
    <m/>
    <m/>
    <m/>
    <m/>
    <m/>
  </r>
  <r>
    <n v="54.2"/>
    <s v="3.3.2"/>
    <s v="Realizar um Estudo sobre a Co-infecção TB/VIH"/>
    <n v="1"/>
    <x v="1"/>
    <n v="2"/>
    <x v="5"/>
    <m/>
    <m/>
    <m/>
    <m/>
    <m/>
    <n v="11000"/>
    <m/>
    <n v="11000"/>
    <n v="11000"/>
    <m/>
    <m/>
    <m/>
    <m/>
    <m/>
    <m/>
  </r>
  <r>
    <n v="55"/>
    <s v="3.4"/>
    <s v="Organizar sessões de advocacia junto aos decisores políticos e parceiros."/>
    <n v="2"/>
    <x v="0"/>
    <n v="1"/>
    <x v="0"/>
    <s v=" Numero Decisores e parceiros colaborando nas actividades de luta contra a tuberculose"/>
    <s v="Conhecimento da população sobre a TB melhorado"/>
    <n v="92.829999999999984"/>
    <n v="92.829999999999984"/>
    <n v="92.829999999999984"/>
    <n v="92.829999999999984"/>
    <n v="92.829999999999984"/>
    <n v="464.14999999999992"/>
    <m/>
    <m/>
    <m/>
    <m/>
    <n v="464.14999999999992"/>
    <m/>
    <m/>
  </r>
  <r>
    <n v="56"/>
    <s v="3.5"/>
    <s v="Formar (100) ASC e activistas (em gestão das actividades comunitária/sensibilização sobre TB)."/>
    <n v="1"/>
    <x v="2"/>
    <n v="3"/>
    <x v="6"/>
    <s v="Numero de pessoal formados"/>
    <s v="Conhecimento da população sobre a TB melhorado"/>
    <n v="19562.891999999996"/>
    <n v="0"/>
    <n v="0"/>
    <n v="0"/>
    <n v="0"/>
    <n v="19562.891999999996"/>
    <n v="19562.891999999996"/>
    <m/>
    <m/>
    <m/>
    <m/>
    <m/>
    <m/>
  </r>
  <r>
    <n v="57"/>
    <s v="3.5.1"/>
    <s v="Reciclar (100) ASC e activistas (em gestão das actividades comunitária/sensibilização sobre TB)."/>
    <n v="2"/>
    <x v="2"/>
    <n v="3"/>
    <x v="6"/>
    <m/>
    <s v="Conhecimento da população sobre a TB melhorado"/>
    <n v="0"/>
    <n v="0"/>
    <n v="19562.87"/>
    <n v="0"/>
    <n v="0"/>
    <n v="19562.87"/>
    <m/>
    <m/>
    <m/>
    <m/>
    <m/>
    <m/>
    <n v="19562.87"/>
  </r>
  <r>
    <n v="58"/>
    <s v="3.6"/>
    <s v="Realizar palestras de sensibilização ( na escola, igrejas, prisão, quartel militar, Jornalistas e nas comunidades)"/>
    <n v="1"/>
    <x v="2"/>
    <n v="3"/>
    <x v="4"/>
    <s v="Numero de palestras realizadas"/>
    <s v="Conhecimento da população sobre a TB melhorado"/>
    <n v="18499.990000000002"/>
    <n v="18499.990000000002"/>
    <n v="18499.990000000002"/>
    <n v="18499.990000000002"/>
    <n v="18499.990000000002"/>
    <n v="92499.950000000012"/>
    <n v="92499.950000000012"/>
    <m/>
    <m/>
    <m/>
    <m/>
    <m/>
    <m/>
  </r>
  <r>
    <n v="59"/>
    <s v="3.7"/>
    <s v="Organização do dia Mundial de Luta contra TB"/>
    <n v="2"/>
    <x v="2"/>
    <n v="3"/>
    <x v="4"/>
    <s v="Relatório disponível"/>
    <s v="Conhecimento da população sobre a TB melhorado"/>
    <n v="11333.33"/>
    <n v="11333.33"/>
    <n v="11333.33"/>
    <n v="11333.33"/>
    <n v="11333.33"/>
    <n v="56666.65"/>
    <n v="56666.65"/>
    <m/>
    <m/>
    <m/>
    <m/>
    <m/>
    <m/>
  </r>
  <r>
    <n v="60"/>
    <s v="3.8"/>
    <s v="Formar 30 Jornalistas (rádio, televisão, jornal), 3 dias, Ano 1 "/>
    <n v="2"/>
    <x v="2"/>
    <n v="3"/>
    <x v="4"/>
    <m/>
    <s v="Conhecimento da população sobre a TB melhorado"/>
    <n v="0"/>
    <n v="5186.92"/>
    <n v="0"/>
    <n v="0"/>
    <n v="0"/>
    <n v="5186.92"/>
    <n v="5186.92"/>
    <m/>
    <m/>
    <m/>
    <m/>
    <m/>
    <m/>
  </r>
  <r>
    <n v="61"/>
    <s v="3.9"/>
    <s v="Reciclar 30 Jornalistas (rádio, televisão, jornal), 3 dias, Ano 2"/>
    <n v="2"/>
    <x v="2"/>
    <n v="3"/>
    <x v="4"/>
    <m/>
    <s v="Conhecimento da população sobre a TB melhorado"/>
    <n v="0"/>
    <n v="0"/>
    <m/>
    <n v="5187.92"/>
    <n v="0"/>
    <n v="5187.92"/>
    <m/>
    <m/>
    <m/>
    <m/>
    <m/>
    <m/>
    <n v="5187.92"/>
  </r>
  <r>
    <n v="62"/>
    <s v="4.1"/>
    <s v="Rehabilitar/adaptação de 6 laboratórios  "/>
    <n v="3"/>
    <x v="2"/>
    <n v="3"/>
    <x v="7"/>
    <s v="Numero de laboratórios reabilitados/adapatados"/>
    <s v="Casos de tuberculose diagnosticados"/>
    <n v="4500"/>
    <n v="4500"/>
    <n v="4500"/>
    <n v="0"/>
    <n v="0"/>
    <n v="13500"/>
    <n v="13500"/>
    <m/>
    <m/>
    <m/>
    <m/>
    <m/>
    <m/>
  </r>
  <r>
    <n v="63"/>
    <s v="4.2"/>
    <s v="Equipar os laboratórios( microscópios, bico de busen...)"/>
    <n v="1"/>
    <x v="2"/>
    <n v="3"/>
    <x v="7"/>
    <s v="Numero de laboratorios equipados"/>
    <s v="Casos de tuberculose diagnosticados"/>
    <n v="18604"/>
    <n v="0"/>
    <n v="13953"/>
    <n v="0"/>
    <n v="13953"/>
    <n v="46510"/>
    <n v="46510"/>
    <m/>
    <m/>
    <m/>
    <m/>
    <m/>
    <m/>
  </r>
  <r>
    <n v="64"/>
    <s v="4.3"/>
    <s v="Aprovisionar as estruturas em consumíveis de laboratório (laminas, luvas, embaços, reagentes, mala térmica, palitos…) "/>
    <n v="1"/>
    <x v="2"/>
    <n v="3"/>
    <x v="7"/>
    <s v="Numero de dias de rutura de Stoks"/>
    <s v="Casos de tuberculose diagnosticados"/>
    <n v="18372"/>
    <n v="18372"/>
    <n v="18372"/>
    <n v="18372"/>
    <n v="18372"/>
    <n v="91860"/>
    <n v="91860"/>
    <m/>
    <m/>
    <m/>
    <m/>
    <m/>
    <m/>
  </r>
  <r>
    <n v="65"/>
    <s v="4.4.1"/>
    <s v="Assegurar o controlo de qualidade externo supranacional"/>
    <n v="1"/>
    <x v="2"/>
    <n v="3"/>
    <x v="7"/>
    <s v="Numero de laboaratorio que interveem no controlo de qualidade"/>
    <s v="Casos de tuberculose diagnosticados"/>
    <n v="5701.36"/>
    <n v="5701.36"/>
    <n v="5701.36"/>
    <n v="5701.36"/>
    <n v="5701.36"/>
    <n v="28506.799999999999"/>
    <n v="28506.799999999999"/>
    <m/>
    <m/>
    <m/>
    <m/>
    <m/>
    <m/>
  </r>
  <r>
    <n v="66"/>
    <s v="4.4.1.1"/>
    <s v="Assistencia Técnica parao o controlo de qualidade externo supranacional"/>
    <n v="1"/>
    <x v="2"/>
    <n v="3"/>
    <x v="7"/>
    <m/>
    <s v="Casos de tuberculose diagnosticados"/>
    <n v="7701.97"/>
    <n v="7701.97"/>
    <n v="7701.97"/>
    <n v="7701.97"/>
    <n v="7701.97"/>
    <n v="38509.85"/>
    <n v="38509.85"/>
    <m/>
    <m/>
    <m/>
    <m/>
    <m/>
    <m/>
  </r>
  <r>
    <n v="67"/>
    <s v="4.4.2"/>
    <s v="Realizar controlo de qualidade das lâminas no laboratório nacional de referência, trimestralmente durante 5 anos"/>
    <n v="1"/>
    <x v="2"/>
    <n v="3"/>
    <x v="7"/>
    <s v="Numero de laboaratorio que interveem no controlo de qualidade "/>
    <s v="Casos de tuberculose diagnosticados"/>
    <n v="7592.33"/>
    <n v="7592.33"/>
    <n v="7592.33"/>
    <n v="7592.33"/>
    <n v="7592.33"/>
    <n v="37961.65"/>
    <n v="37961.65"/>
    <m/>
    <m/>
    <m/>
    <m/>
    <m/>
    <m/>
  </r>
  <r>
    <n v="68"/>
    <s v="4.7.1"/>
    <s v="Formar 25 Técnicos de Laboratórios (14 CDT, Incluindo 2 RAP, 6 HAM e 3 LNR) realização de Baciloscopia e controlo de qualidade (CQ) (1 sessão de 5 dias no Ano 1)"/>
    <n v="2"/>
    <x v="2"/>
    <n v="3"/>
    <x v="7"/>
    <s v="Nº de técnicos de laboratório formados"/>
    <s v="Casos de tuberculose diagnosticados"/>
    <n v="0"/>
    <n v="0"/>
    <n v="7622.22"/>
    <n v="0"/>
    <n v="0"/>
    <n v="7622.22"/>
    <m/>
    <m/>
    <m/>
    <m/>
    <m/>
    <m/>
    <n v="7622.22"/>
  </r>
  <r>
    <n v="69"/>
    <s v="4.7.2"/>
    <s v="Reciclar 25 Técnicos de Laboratórios (14 CDT, Incluindo 2 RAP, 6 HAM E 3 LNR) realização de Baciloscopia e controlo de qualidade (CQ) (1 sessão de 5 dias no Ano 3)"/>
    <n v="2"/>
    <x v="2"/>
    <n v="3"/>
    <x v="7"/>
    <s v="Nº de técnicos de laboratório formados"/>
    <s v="Casos de tuberculose diagnosticados"/>
    <n v="0"/>
    <n v="0"/>
    <n v="7622.22"/>
    <n v="7622.22"/>
    <n v="0"/>
    <n v="15244.44"/>
    <m/>
    <m/>
    <m/>
    <m/>
    <m/>
    <m/>
    <n v="15244.44"/>
  </r>
  <r>
    <n v="70"/>
    <s v="4.8"/>
    <s v="Implementar o APSR (directrizes nacionais de APSR, guia de gestão de casos: de contactos e SR)"/>
    <n v="1"/>
    <x v="2"/>
    <n v="3"/>
    <x v="7"/>
    <s v="Diretrizes de APSR disponível"/>
    <s v="Casos de tuberculose diagnosticados"/>
    <n v="5669.1900000000005"/>
    <n v="5669.1900000000005"/>
    <n v="0"/>
    <n v="0"/>
    <n v="0"/>
    <n v="11338.380000000001"/>
    <n v="11338.380000000001"/>
    <m/>
    <m/>
    <m/>
    <m/>
    <m/>
    <m/>
  </r>
  <r>
    <n v="71"/>
    <s v="4.8.1"/>
    <s v="Financiamento das RX dos suspeitos e 325 pacientes TB "/>
    <n v="2"/>
    <x v="2"/>
    <n v="3"/>
    <x v="7"/>
    <s v="Diretrizes de APSR disponível"/>
    <s v="Casos de tuberculose diagnosticados"/>
    <n v="2708.33"/>
    <n v="2708.33"/>
    <n v="2708.33"/>
    <n v="2708.33"/>
    <n v="2708.33"/>
    <n v="13541.65"/>
    <n v="5416.66"/>
    <m/>
    <m/>
    <m/>
    <n v="8124.99"/>
    <m/>
    <m/>
  </r>
  <r>
    <n v="72"/>
    <s v="4.9"/>
    <s v="1.9.Organizar visitas domiciliares em busca de contactos dos casos positivos, perdidos de vista."/>
    <n v="1"/>
    <x v="2"/>
    <n v="3"/>
    <x v="7"/>
    <s v="Numero de conctatos notificados e seguidos"/>
    <s v="Casos de tuberculose diagnosticados"/>
    <n v="7140"/>
    <n v="7140"/>
    <n v="7140"/>
    <n v="7140"/>
    <n v="7140"/>
    <n v="35700"/>
    <m/>
    <m/>
    <m/>
    <m/>
    <m/>
    <m/>
    <n v="35700"/>
  </r>
  <r>
    <n v="73"/>
    <s v="4.10.1"/>
    <s v="Formar 15 formadores sobre Sintomáticos Respiratórios, 1 sessão de 5 dias no Ano 1 "/>
    <n v="2"/>
    <x v="2"/>
    <n v="3"/>
    <x v="7"/>
    <s v="Numero de pretadores de cuidados de saude capacitados"/>
    <s v="Casos de tuberculose diagnosticados"/>
    <n v="4161.3900000000003"/>
    <n v="0"/>
    <n v="0"/>
    <n v="0"/>
    <n v="0"/>
    <n v="4161.3900000000003"/>
    <m/>
    <m/>
    <m/>
    <m/>
    <m/>
    <m/>
    <n v="4161.3900000000003"/>
  </r>
  <r>
    <n v="74"/>
    <s v="4.10.2"/>
    <s v="Formar 100 tecnicos de saude sobre Sintomáticos Respiratórios, 4 sessão de 5 dias no Ano 1 "/>
    <n v="2"/>
    <x v="2"/>
    <n v="3"/>
    <x v="7"/>
    <s v="Numero de pretadores de cuidados de saude capacitados"/>
    <s v="Casos de tuberculose diagnosticados"/>
    <n v="0"/>
    <n v="0"/>
    <n v="20725.560000000001"/>
    <n v="0"/>
    <n v="0"/>
    <n v="20725.560000000001"/>
    <n v="20725.560000000001"/>
    <m/>
    <m/>
    <m/>
    <m/>
    <m/>
    <m/>
  </r>
  <r>
    <n v="75"/>
    <s v="4.10.3"/>
    <s v="Reciclar 100 tecnicos de saude sobre Sintomáticos Respiratórios, 4 sessão de 5 dias no Ano 2"/>
    <n v="2"/>
    <x v="2"/>
    <n v="3"/>
    <x v="7"/>
    <m/>
    <s v="Casos de tuberculose diagnosticados"/>
    <n v="0"/>
    <n v="0"/>
    <n v="0"/>
    <n v="20725.560000000001"/>
    <n v="0"/>
    <n v="20725.560000000001"/>
    <n v="20725.560000000001"/>
    <m/>
    <m/>
    <m/>
    <m/>
    <m/>
    <m/>
  </r>
  <r>
    <n v="76"/>
    <s v="4.11"/>
    <s v="1.12.Supervisionar trimestralmente os CDT "/>
    <n v="1"/>
    <x v="2"/>
    <n v="3"/>
    <x v="7"/>
    <s v="Numero de pretadores de cuidados de saude capacitados"/>
    <s v="Casos de tuberculose diagnosticados"/>
    <n v="3788.65"/>
    <n v="3788.65"/>
    <n v="3788.65"/>
    <n v="3788.65"/>
    <n v="3788.65"/>
    <n v="18943.25"/>
    <n v="18943.25"/>
    <m/>
    <m/>
    <m/>
    <m/>
    <m/>
    <m/>
  </r>
  <r>
    <n v="77"/>
    <s v="4.12"/>
    <s v="Aquisição de combustível para os distritos no apoio ao DOT ao nível comunitário"/>
    <n v="1"/>
    <x v="2"/>
    <n v="3"/>
    <x v="7"/>
    <m/>
    <s v="Casos de tuberculose diagnosticados"/>
    <n v="3070.2"/>
    <n v="3070.2"/>
    <n v="3070.2"/>
    <n v="3070.2"/>
    <n v="3070.2"/>
    <n v="15351"/>
    <n v="15351"/>
    <m/>
    <m/>
    <m/>
    <m/>
    <m/>
    <m/>
  </r>
  <r>
    <n v="78"/>
    <s v="4.13"/>
    <s v="Adquirir um microscopio de LED"/>
    <n v="1"/>
    <x v="2"/>
    <n v="3"/>
    <x v="7"/>
    <m/>
    <s v="Casos de tuberculose diagnosticados"/>
    <n v="0"/>
    <n v="0"/>
    <n v="5000"/>
    <n v="0"/>
    <n v="0"/>
    <n v="5000"/>
    <n v="5000"/>
    <m/>
    <m/>
    <m/>
    <m/>
    <m/>
    <m/>
  </r>
  <r>
    <n v="79"/>
    <s v="5.1"/>
    <s v="Revisão  e impressão (do guia de manejo de caso de TB, modulos de formação)"/>
    <n v="1"/>
    <x v="2"/>
    <n v="3"/>
    <x v="8"/>
    <s v="Numero de documentos impressos"/>
    <s v="100% de casos detectados tratados"/>
    <n v="0"/>
    <n v="20571.22"/>
    <n v="0"/>
    <n v="0"/>
    <n v="0"/>
    <n v="20571.22"/>
    <n v="20571.22"/>
    <m/>
    <m/>
    <m/>
    <m/>
    <m/>
    <m/>
  </r>
  <r>
    <n v="80"/>
    <s v="5.2"/>
    <s v="Assegurar o aprovisionamento em antituberculosos de 1º linha (pacote)"/>
    <n v="1"/>
    <x v="2"/>
    <n v="3"/>
    <x v="8"/>
    <s v="Numero de dias de ruptura"/>
    <s v="100% de casos detectados tratados"/>
    <n v="3933"/>
    <n v="7222"/>
    <n v="8050"/>
    <n v="4370"/>
    <n v="9430"/>
    <n v="33005"/>
    <m/>
    <m/>
    <m/>
    <n v="33005"/>
    <m/>
    <m/>
    <m/>
  </r>
  <r>
    <n v="81"/>
    <s v="5.2.1"/>
    <s v="Adquirir medicamentos para retratamento de 53 doentes durante 5 Anos"/>
    <n v="1"/>
    <x v="2"/>
    <n v="3"/>
    <x v="8"/>
    <m/>
    <s v="100% de casos detectados tratados"/>
    <n v="640"/>
    <n v="448"/>
    <n v="1280"/>
    <n v="832"/>
    <n v="2304"/>
    <n v="5504"/>
    <m/>
    <m/>
    <m/>
    <n v="5504"/>
    <m/>
    <m/>
    <m/>
  </r>
  <r>
    <n v="82"/>
    <s v="5.2.2"/>
    <s v="Adquirir medicamentos de primeira linha para tratar um total de 19 crianças durante 5 Anos"/>
    <n v="1"/>
    <x v="2"/>
    <n v="3"/>
    <x v="8"/>
    <m/>
    <s v="100% de casos detectados tratados"/>
    <n v="132"/>
    <n v="66"/>
    <n v="132"/>
    <n v="110"/>
    <n v="220"/>
    <n v="660"/>
    <m/>
    <m/>
    <m/>
    <n v="660"/>
    <m/>
    <m/>
    <m/>
  </r>
  <r>
    <n v="83"/>
    <s v="5.3"/>
    <s v="Assegurar o controlo de qualidade nacional (CQ) dos medicamentos nos postos de distribuição (laboratório a ser identificado)"/>
    <n v="1"/>
    <x v="2"/>
    <n v="3"/>
    <x v="8"/>
    <s v="Numero de relatório de CQ"/>
    <s v="100% de casos detectados tratados"/>
    <n v="0"/>
    <n v="658.41"/>
    <n v="1783.86"/>
    <n v="1134.3599999999999"/>
    <n v="3058.62"/>
    <n v="6635.25"/>
    <n v="6635.25"/>
    <m/>
    <m/>
    <m/>
    <m/>
    <m/>
    <m/>
  </r>
  <r>
    <n v="84"/>
    <s v="5.4"/>
    <s v="Formar 24 supervisores (supervisão integrada), uma secção de 5 dias."/>
    <n v="2"/>
    <x v="1"/>
    <n v="2"/>
    <x v="1"/>
    <s v="Numero de supervisosres formados"/>
    <s v="100% de casos detectados tratados"/>
    <n v="0"/>
    <n v="0"/>
    <n v="3182.41"/>
    <n v="0"/>
    <n v="0"/>
    <n v="3182.41"/>
    <m/>
    <m/>
    <m/>
    <m/>
    <m/>
    <m/>
    <n v="3182.41"/>
  </r>
  <r>
    <n v="85"/>
    <s v="5.5"/>
    <s v="Supervisionar os prestadores de cuidados de saúde"/>
    <n v="1"/>
    <x v="1"/>
    <n v="2"/>
    <x v="1"/>
    <s v="Numero de visitas de supervisão "/>
    <s v="100% de casos detectados tratados"/>
    <n v="3182.41"/>
    <n v="3182.41"/>
    <n v="3182.41"/>
    <n v="3182.41"/>
    <n v="3182.41"/>
    <n v="15912.05"/>
    <n v="15912.05"/>
    <m/>
    <m/>
    <m/>
    <m/>
    <m/>
    <m/>
  </r>
  <r>
    <n v="86"/>
    <s v="5.6"/>
    <s v="Assegurar a aplicação do tratamento directamente observado"/>
    <n v="1"/>
    <x v="2"/>
    <n v="3"/>
    <x v="8"/>
    <s v="Percentagem de estruturas que aplicam TODO"/>
    <s v="100% de casos detectados tratados"/>
    <n v="3070.2"/>
    <n v="3070.2"/>
    <n v="3070.2"/>
    <n v="3070.2"/>
    <n v="3070.2"/>
    <n v="15351"/>
    <n v="15351"/>
    <m/>
    <m/>
    <m/>
    <m/>
    <m/>
    <m/>
  </r>
  <r>
    <n v="87"/>
    <s v="5.7.1"/>
    <s v=" Formar 50 Activistas de ONG, Associações Locais e (10) Socoristas para sensibilização das comunidades sobre TB  (TB/HIV; TB/MR)- (5 Dias, em 2 sessões de 20 pessoas em ST e uma sessão de 10 pessoas na RAP, Ano 1)"/>
    <n v="3"/>
    <x v="2"/>
    <n v="3"/>
    <x v="6"/>
    <m/>
    <s v="100% de casos detectados tratados"/>
    <n v="0"/>
    <n v="0"/>
    <n v="11856.72"/>
    <n v="0"/>
    <n v="0"/>
    <n v="11856.72"/>
    <n v="11856.72"/>
    <m/>
    <m/>
    <m/>
    <m/>
    <m/>
    <m/>
  </r>
  <r>
    <n v="88"/>
    <s v="5.7.2"/>
    <s v=" Reciclar 50 Activistas de ONG, Associações Locais e (10) Socoristas para sensibilização das comunidades sobre TB  (TB/HIV; TB/MR)- (5 Dias, em 2 sessões de 20 pessoas em ST e uma sessão de 10 pessoas na RAP, ano 3)"/>
    <n v="3"/>
    <x v="2"/>
    <n v="3"/>
    <x v="6"/>
    <m/>
    <s v="100% de casos detectados tratados"/>
    <n v="0"/>
    <n v="0"/>
    <m/>
    <n v="11856.72"/>
    <n v="0"/>
    <n v="11856.72"/>
    <m/>
    <m/>
    <m/>
    <m/>
    <m/>
    <m/>
    <n v="11856.72"/>
  </r>
  <r>
    <n v="89"/>
    <s v="5.8"/>
    <s v="Apoio nutricional e Psico-social à 150 pacientes, durante 5 anos"/>
    <n v="2"/>
    <x v="2"/>
    <n v="3"/>
    <x v="8"/>
    <m/>
    <s v="100% de casos detectados tratados"/>
    <n v="0"/>
    <n v="3000"/>
    <n v="3000"/>
    <n v="3000"/>
    <n v="3000"/>
    <n v="12000"/>
    <m/>
    <m/>
    <m/>
    <m/>
    <m/>
    <m/>
    <n v="12000"/>
  </r>
  <r>
    <n v="90"/>
    <s v="5.9"/>
    <s v="Formar e reciclar Médicos em manejo dos casos e estratégia Stop TB, co-infecção TB/HIV (5 Dias, 40 participantes) 20 participantes no ano 1 e 20 no ano 3"/>
    <n v="1"/>
    <x v="2"/>
    <n v="3"/>
    <x v="8"/>
    <m/>
    <s v="100% de casos detectados tratados"/>
    <n v="0"/>
    <n v="6143.39"/>
    <m/>
    <n v="6143.39"/>
    <n v="0"/>
    <n v="12286.78"/>
    <m/>
    <m/>
    <m/>
    <m/>
    <m/>
    <m/>
    <n v="12286.78"/>
  </r>
  <r>
    <n v="91"/>
    <s v="5.10"/>
    <s v=" Formar 100 enfermeiros em manejo dos casos e estratégia Stop TB, co-infecção TB/HIV e  (2 sessões por ano de 5 Dias 50 no ano 1 e 50 no ano 3), Sendo 80 ST+20 RAP"/>
    <n v="1"/>
    <x v="2"/>
    <n v="3"/>
    <x v="8"/>
    <m/>
    <s v="100% de casos detectados tratados"/>
    <n v="0"/>
    <n v="9806.06"/>
    <m/>
    <n v="9806.06"/>
    <n v="0"/>
    <n v="19612.12"/>
    <m/>
    <m/>
    <m/>
    <m/>
    <m/>
    <m/>
    <n v="19612.12"/>
  </r>
  <r>
    <n v="92"/>
    <s v="5.11"/>
    <s v="Gestão dos efeitos secundários "/>
    <n v="1"/>
    <x v="2"/>
    <n v="3"/>
    <x v="8"/>
    <m/>
    <s v="100% de casos detectados tratados"/>
    <n v="0"/>
    <n v="2500"/>
    <n v="2500"/>
    <n v="2500"/>
    <n v="2500"/>
    <n v="10000"/>
    <m/>
    <m/>
    <m/>
    <m/>
    <n v="10000"/>
    <m/>
    <m/>
  </r>
  <r>
    <n v="93"/>
    <s v="6.1"/>
    <s v="Implementar o órgão de coordenação central e distrital das actividades de colaboração TB/HIV "/>
    <n v="1"/>
    <x v="3"/>
    <n v="4"/>
    <x v="9"/>
    <s v="Realização de uma reunião anual"/>
    <s v="prestação de serv. Integ. TB/HIV"/>
    <n v="0"/>
    <n v="0"/>
    <n v="0"/>
    <n v="0"/>
    <n v="0"/>
    <n v="0"/>
    <n v="0"/>
    <n v="0"/>
    <n v="0"/>
    <n v="0"/>
    <n v="0"/>
    <m/>
    <n v="0"/>
  </r>
  <r>
    <n v="94"/>
    <s v="6.2"/>
    <s v="Elaborar um Guia Nacional de Co-infeccção"/>
    <n v="1"/>
    <x v="3"/>
    <n v="4"/>
    <x v="9"/>
    <s v=" Guia nacional de coinfecção disponível"/>
    <s v="prestação de serv. Integ. TB/HIV"/>
    <n v="9921.6575000000012"/>
    <n v="0"/>
    <n v="0"/>
    <n v="0"/>
    <n v="0"/>
    <n v="9921.6575000000012"/>
    <m/>
    <m/>
    <m/>
    <m/>
    <m/>
    <m/>
    <n v="9921.6575000000012"/>
  </r>
  <r>
    <n v="95"/>
    <s v="6.3"/>
    <s v="Colaborar na Integração dos instrumentos de registos e de reportagem de PNLS  para seguir as actividades  de 3 Is."/>
    <n v="1"/>
    <x v="3"/>
    <n v="4"/>
    <x v="9"/>
    <s v="Iinstrumentos de registos e de reportagem das actividades adaptados e disponíveis"/>
    <s v="prestação de serv. Integ. TB/HIV"/>
    <n v="0"/>
    <n v="0"/>
    <n v="0"/>
    <n v="0"/>
    <n v="0"/>
    <n v="0"/>
    <n v="0"/>
    <n v="0"/>
    <n v="0"/>
    <n v="0"/>
    <n v="0"/>
    <m/>
    <n v="0"/>
  </r>
  <r>
    <n v="96"/>
    <s v="6.4"/>
    <s v="Organizar reuniões de planificação e seguimento das actividades trimestralmente"/>
    <n v="1"/>
    <x v="3"/>
    <n v="4"/>
    <x v="9"/>
    <s v="Nº de reuniões realizadas"/>
    <s v="prestação de serv. Integ. TB/HIV"/>
    <n v="366.67"/>
    <n v="366.67"/>
    <n v="366.67"/>
    <n v="366.67"/>
    <n v="366.67"/>
    <n v="1833.3500000000001"/>
    <n v="1833.3500000000001"/>
    <m/>
    <m/>
    <m/>
    <m/>
    <m/>
    <m/>
  </r>
  <r>
    <n v="97"/>
    <s v="6.5"/>
    <s v="Aprovisionar as unidades sanitárias com a isoniazida aos pacientes de HIV elegíveis (4.771 pacientes previsto nos 5 anos)"/>
    <n v="1"/>
    <x v="3"/>
    <n v="4"/>
    <x v="10"/>
    <s v="Nº de Isoniasida destribuidos"/>
    <s v="prestação de serv. Integ. TB/HIV"/>
    <n v="1878"/>
    <n v="943"/>
    <n v="951"/>
    <n v="963"/>
    <n v="975"/>
    <n v="5710"/>
    <m/>
    <m/>
    <m/>
    <m/>
    <n v="5710"/>
    <m/>
    <m/>
  </r>
  <r>
    <n v="98"/>
    <s v="6.6"/>
    <s v="Assegurar a despistagem da TB (teste PPD)"/>
    <n v="1"/>
    <x v="3"/>
    <n v="4"/>
    <x v="10"/>
    <s v="numero e percentagem de PVHVI testados"/>
    <s v="prestação de serv. Integ. TB/HIV"/>
    <m/>
    <n v="1262.48"/>
    <n v="1262.48"/>
    <n v="1262.48"/>
    <n v="1262.48"/>
    <n v="5049.92"/>
    <m/>
    <m/>
    <m/>
    <m/>
    <m/>
    <m/>
    <n v="5049.92"/>
  </r>
  <r>
    <n v="99"/>
    <s v="6.8"/>
    <s v="Reforçar o aconselhamento da prevenção do VIH nos doentes TB"/>
    <n v="1"/>
    <x v="3"/>
    <n v="4"/>
    <x v="9"/>
    <m/>
    <s v="prestação de serv. Integ. TB/HIV"/>
    <n v="0"/>
    <n v="0"/>
    <n v="0"/>
    <n v="0"/>
    <n v="0"/>
    <n v="0"/>
    <m/>
    <m/>
    <m/>
    <m/>
    <m/>
    <m/>
    <n v="0"/>
  </r>
  <r>
    <n v="100"/>
    <s v="6.9"/>
    <s v="Reforçar as capacidades dos prestadores de cuidados de saúde em TB/HIV (Médicos, 100 enfermeiros,"/>
    <n v="1"/>
    <x v="3"/>
    <n v="4"/>
    <x v="9"/>
    <s v="Nº de médicos formados em TB/HIV"/>
    <s v="prestação de serv. Integ. TB/HIV"/>
    <n v="0"/>
    <n v="0"/>
    <n v="0"/>
    <n v="0"/>
    <n v="0"/>
    <n v="0"/>
    <m/>
    <m/>
    <m/>
    <m/>
    <m/>
    <m/>
    <n v="0"/>
  </r>
  <r>
    <n v="101"/>
    <s v="6.10"/>
    <s v="Determinar a prevalência d de TB nas pessoas que vivem com VIH "/>
    <n v="1"/>
    <x v="3"/>
    <n v="4"/>
    <x v="10"/>
    <s v="Prevalência de TB nas pessoas que vivem com HIV"/>
    <s v="prestação de serv. Integ. TB/HIV"/>
    <n v="0"/>
    <n v="2598.5216"/>
    <n v="2621.6928999999996"/>
    <n v="2621.6928999999996"/>
    <n v="2621.6928999999996"/>
    <n v="10463.6003"/>
    <m/>
    <m/>
    <m/>
    <m/>
    <n v="10463.6003"/>
    <m/>
    <m/>
  </r>
  <r>
    <n v="102"/>
    <s v="6.11"/>
    <s v="Determinar VIH nos pacientes com TB através dos postos sentinelas"/>
    <n v="1"/>
    <x v="3"/>
    <n v="4"/>
    <x v="10"/>
    <s v="Prevalência de VIH nos pacientes TB"/>
    <s v="prestação de serv. Integ. TB/HIV"/>
    <n v="0"/>
    <n v="0"/>
    <n v="0"/>
    <n v="0"/>
    <n v="0"/>
    <n v="0"/>
    <n v="0"/>
    <n v="0"/>
    <n v="0"/>
    <n v="0"/>
    <n v="0"/>
    <m/>
    <n v="0"/>
  </r>
  <r>
    <n v="103"/>
    <s v="6.12"/>
    <s v="Formar 15 formadores em TB/HIV, 1 secção de 5 dias no Ano 2"/>
    <n v="1"/>
    <x v="3"/>
    <n v="4"/>
    <x v="9"/>
    <m/>
    <s v="prestação de serv. Integ. TB/HIV"/>
    <n v="0"/>
    <n v="9994.2199999999993"/>
    <n v="0"/>
    <n v="0"/>
    <n v="0"/>
    <n v="9994.2199999999993"/>
    <n v="9994.2199999999993"/>
    <m/>
    <m/>
    <m/>
    <m/>
    <m/>
    <m/>
  </r>
  <r>
    <n v="104"/>
    <s v="6.13"/>
    <s v="Reciclar 15 formadores em TB/HIV, 1 secção de 5 dias no Ano 4"/>
    <n v="1"/>
    <x v="3"/>
    <n v="4"/>
    <x v="9"/>
    <m/>
    <s v="prestação de serv. Integ. TB/HIV"/>
    <n v="0"/>
    <n v="0"/>
    <m/>
    <n v="9994.2199999999993"/>
    <n v="0"/>
    <n v="9994.2199999999993"/>
    <n v="9994.2199999999993"/>
    <m/>
    <m/>
    <m/>
    <m/>
    <m/>
    <m/>
  </r>
  <r>
    <n v="105"/>
    <s v="6.14"/>
    <s v="Adquirir cotrimoxazol"/>
    <n v="1"/>
    <x v="3"/>
    <n v="4"/>
    <x v="10"/>
    <m/>
    <s v="prestação de serv. Integ. TB/HIV"/>
    <n v="0"/>
    <n v="0"/>
    <n v="0"/>
    <n v="0"/>
    <n v="0"/>
    <n v="0"/>
    <n v="0"/>
    <n v="0"/>
    <n v="0"/>
    <n v="0"/>
    <n v="0"/>
    <m/>
    <n v="0"/>
  </r>
  <r>
    <n v="106"/>
    <s v="6.15"/>
    <s v="Adquirir ARV"/>
    <n v="1"/>
    <x v="3"/>
    <n v="4"/>
    <x v="10"/>
    <m/>
    <s v="prestação de serv. Integ. TB/HIV"/>
    <n v="0"/>
    <n v="0"/>
    <n v="0"/>
    <n v="0"/>
    <n v="0"/>
    <n v="0"/>
    <n v="0"/>
    <n v="0"/>
    <n v="0"/>
    <n v="0"/>
    <n v="0"/>
    <m/>
    <n v="0"/>
  </r>
  <r>
    <n v="107"/>
    <s v="6.16"/>
    <s v="Adquirir teste de VIH"/>
    <n v="1"/>
    <x v="3"/>
    <n v="4"/>
    <x v="10"/>
    <m/>
    <s v="prestação de serv. Integ. TB/HIV"/>
    <n v="0"/>
    <n v="0"/>
    <n v="0"/>
    <n v="0"/>
    <n v="0"/>
    <n v="0"/>
    <n v="0"/>
    <n v="0"/>
    <n v="0"/>
    <n v="0"/>
    <n v="0"/>
    <m/>
    <n v="0"/>
  </r>
  <r>
    <n v="108"/>
    <s v="6.17"/>
    <s v="Colaborar na Integração dos instrumentos de registos e de reportagem para seguir as actividades de 3 Is."/>
    <n v="1"/>
    <x v="3"/>
    <n v="4"/>
    <x v="9"/>
    <m/>
    <s v="prestação de serv. Integ. TB/HIV"/>
    <n v="2000"/>
    <n v="2000"/>
    <n v="2000"/>
    <n v="2000"/>
    <n v="2000"/>
    <n v="10000"/>
    <m/>
    <m/>
    <m/>
    <m/>
    <m/>
    <m/>
    <n v="10000"/>
  </r>
  <r>
    <n v="109"/>
    <s v="6.18"/>
    <s v="Atelier para Elaboração da politica de controlo de infecção (25 participantes durante 5 dias)"/>
    <n v="1"/>
    <x v="3"/>
    <n v="4"/>
    <x v="9"/>
    <m/>
    <s v="prestação de serv. Integ. TB/HIV"/>
    <n v="0"/>
    <n v="9830.6575000000012"/>
    <n v="0"/>
    <n v="0"/>
    <n v="0"/>
    <n v="9830.6575000000012"/>
    <m/>
    <m/>
    <m/>
    <m/>
    <n v="9830.6575000000012"/>
    <m/>
    <m/>
  </r>
  <r>
    <n v="110"/>
    <s v="7.1"/>
    <s v="Rever reproduzir o guia de Gestão de TB MR"/>
    <n v="1"/>
    <x v="4"/>
    <n v="5"/>
    <x v="11"/>
    <s v="Numero de guia disponivel"/>
    <s v="Capacidades de PNLT para gestão de  TB MR  reforçadas"/>
    <n v="0"/>
    <n v="0"/>
    <n v="0"/>
    <n v="2070.59"/>
    <n v="0"/>
    <n v="2070.59"/>
    <n v="2070.59"/>
    <m/>
    <m/>
    <m/>
    <m/>
    <m/>
    <m/>
  </r>
  <r>
    <n v="111"/>
    <s v="7.2"/>
    <s v="Elaborar o documento de politica de controlo de infecção TB nos serviços de saúde e estabelecimentos colectivos e respectivo plano"/>
    <n v="1"/>
    <x v="4"/>
    <n v="5"/>
    <x v="11"/>
    <s v="Documentos elaborados e  disponiveis"/>
    <s v="Capacidades de PNLT para gestão de  TB MR  reforçadas"/>
    <n v="0"/>
    <n v="42999.999999999993"/>
    <n v="0"/>
    <n v="0"/>
    <n v="0"/>
    <n v="42999.999999999993"/>
    <n v="42999.999999999993"/>
    <m/>
    <m/>
    <m/>
    <m/>
    <m/>
    <m/>
  </r>
  <r>
    <n v="112"/>
    <s v="7.3"/>
    <s v=" Formar  15 técnicos em gestão de TB MR, 1 sessão de 5 dias (ano 3 e ano 4)"/>
    <n v="2"/>
    <x v="4"/>
    <n v="5"/>
    <x v="11"/>
    <s v="Numero técnicos formados"/>
    <s v="Capacidades de PNLT para gestão de  TB MR  reforçadas"/>
    <n v="0"/>
    <n v="0"/>
    <n v="4411.3900000000003"/>
    <n v="4411.3900000000003"/>
    <n v="0"/>
    <n v="8822.7800000000007"/>
    <n v="8822.7800000000007"/>
    <m/>
    <m/>
    <m/>
    <m/>
    <m/>
    <m/>
  </r>
  <r>
    <n v="113"/>
    <s v="7.4.1"/>
    <s v="Formar 2 técnicos de laboratório em cultura, no exteriordo país."/>
    <n v="1"/>
    <x v="4"/>
    <n v="5"/>
    <x v="12"/>
    <s v="Numero técnicos formados"/>
    <s v="Capacidades de PNLT para gestão de  TB MR  reforçadas"/>
    <n v="0"/>
    <m/>
    <n v="38152"/>
    <n v="0"/>
    <n v="0"/>
    <n v="38152"/>
    <n v="19076"/>
    <n v="19076"/>
    <m/>
    <m/>
    <m/>
    <m/>
    <m/>
  </r>
  <r>
    <n v="114"/>
    <s v="7.5"/>
    <s v=" Implementar o Laboratório de cultura e o teste de sensibilidade"/>
    <n v="1"/>
    <x v="4"/>
    <n v="5"/>
    <x v="12"/>
    <s v="Numero de exames realizados localmente"/>
    <s v="Capacidades de PNLT para gestão de  TB MR  reforçadas"/>
    <n v="0"/>
    <n v="563554.69999999995"/>
    <n v="563554.69999999995"/>
    <n v="0"/>
    <n v="0"/>
    <n v="1127109.3999999999"/>
    <m/>
    <n v="1127109.3999999999"/>
    <m/>
    <m/>
    <m/>
    <m/>
    <m/>
  </r>
  <r>
    <n v="115"/>
    <s v="7.6"/>
    <s v="Aprovisionar o país de uma de teste rápido (Gene-Xpert e cartuchos)"/>
    <n v="1"/>
    <x v="4"/>
    <n v="5"/>
    <x v="12"/>
    <s v="Numero de dias de ruptura"/>
    <s v="Capacidades de PNLT para gestão de  TB MR  reforçadas"/>
    <n v="0"/>
    <n v="0"/>
    <n v="35499.599999999999"/>
    <n v="21897"/>
    <n v="22942"/>
    <n v="80338.600000000006"/>
    <n v="80338.600000000006"/>
    <m/>
    <m/>
    <m/>
    <m/>
    <m/>
    <m/>
  </r>
  <r>
    <n v="116"/>
    <s v="7.7"/>
    <s v="Aprovisionar o laboratório de cultura em consumíveis e reagente "/>
    <n v="1"/>
    <x v="4"/>
    <n v="5"/>
    <x v="12"/>
    <s v="Numero de dias de ruptura"/>
    <s v="Capacidades de PNLT para gestão de  TB MR  reforçadas"/>
    <n v="0"/>
    <n v="0"/>
    <n v="12480"/>
    <n v="14400"/>
    <n v="19680"/>
    <n v="46560"/>
    <n v="19680"/>
    <n v="26880"/>
    <m/>
    <m/>
    <m/>
    <m/>
    <m/>
  </r>
  <r>
    <n v="117"/>
    <s v="7.8"/>
    <s v="Reforçar o sistema de transporte de amostras"/>
    <n v="3"/>
    <x v="4"/>
    <n v="5"/>
    <x v="12"/>
    <s v="Numero de amostras referidas das US"/>
    <s v="Capacidades de PNLT para gestão de  TB MR  reforçadas"/>
    <n v="1003.33"/>
    <n v="1003.33"/>
    <n v="1003.33"/>
    <n v="1003.33"/>
    <n v="1003.33"/>
    <n v="5016.6500000000005"/>
    <n v="5016.6500000000005"/>
    <m/>
    <m/>
    <m/>
    <m/>
    <m/>
    <m/>
  </r>
  <r>
    <n v="118"/>
    <s v="7.9"/>
    <s v="Criar e fazer funcionar um grupo de coordenação gestão para TB MR. (grupo técnico nacional)"/>
    <n v="2"/>
    <x v="4"/>
    <n v="5"/>
    <x v="11"/>
    <s v="Numero de relatorio das actividades"/>
    <s v="Capacidades de PNLT para gestão de  TB MR  reforçadas"/>
    <n v="0"/>
    <n v="0"/>
    <n v="0"/>
    <n v="0"/>
    <n v="0"/>
    <n v="0"/>
    <n v="0"/>
    <n v="0"/>
    <n v="0"/>
    <n v="0"/>
    <n v="0"/>
    <m/>
    <n v="0"/>
  </r>
  <r>
    <n v="119"/>
    <s v="7.10"/>
    <s v="Assegurar o tratamento de 2ªlinha a todos os casos de TBMR conforme as directrizes nacional (53 pacotes)"/>
    <n v="1"/>
    <x v="4"/>
    <n v="5"/>
    <x v="8"/>
    <s v="Numero de pacientes submetidos ao tratamento de 2ªlinha"/>
    <s v="Capacidades de PNLT para gestão de  TB MR  reforçadas"/>
    <n v="7269"/>
    <n v="16515"/>
    <n v="19345"/>
    <n v="19674"/>
    <n v="35363"/>
    <n v="98166"/>
    <n v="98166"/>
    <m/>
    <m/>
    <m/>
    <m/>
    <m/>
    <m/>
  </r>
  <r>
    <m/>
    <s v="7.11"/>
    <s v="Assegurar o manejo dos efeitos secundários"/>
    <n v="1"/>
    <x v="4"/>
    <n v="6"/>
    <x v="8"/>
    <m/>
    <m/>
    <n v="238.1"/>
    <n v="238.1"/>
    <n v="238.1"/>
    <n v="238.1"/>
    <n v="238.1"/>
    <n v="1190.5"/>
    <m/>
    <m/>
    <m/>
    <m/>
    <n v="1190.5"/>
    <m/>
    <m/>
  </r>
  <r>
    <n v="120"/>
    <s v="7.12"/>
    <s v="Assegurar Apoio nutricional e psico social"/>
    <n v="3"/>
    <x v="4"/>
    <n v="5"/>
    <x v="8"/>
    <s v="Percentagem de pacientes que recebem cesta básica"/>
    <s v="Capacidades de PNLT para gestão de  TB MR  reforçadas"/>
    <n v="9523.81"/>
    <n v="9523.81"/>
    <n v="9523.81"/>
    <n v="9523.81"/>
    <n v="9523.81"/>
    <n v="47619.049999999996"/>
    <n v="47619.049999999996"/>
    <m/>
    <m/>
    <m/>
    <m/>
    <m/>
    <m/>
  </r>
  <r>
    <n v="121"/>
    <s v="7.13"/>
    <s v="Assegurar a Vigilância da resistência (implementar a vigilância sentinela)"/>
    <n v="1"/>
    <x v="4"/>
    <n v="5"/>
    <x v="11"/>
    <s v="Relatório de vigilância sentinela disponivel"/>
    <s v="Capacidades de PNLT para gestão de  TB MR  reforçadas"/>
    <n v="0"/>
    <n v="7060.05"/>
    <n v="1423.33"/>
    <n v="1423.33"/>
    <n v="1423.33"/>
    <n v="11330.04"/>
    <n v="11330.04"/>
    <m/>
    <m/>
    <m/>
    <m/>
    <m/>
    <m/>
  </r>
  <r>
    <n v="122"/>
    <s v="7.14"/>
    <s v="Supervisionar as actividades de rotina da TB MR mensalmente"/>
    <n v="1"/>
    <x v="4"/>
    <n v="5"/>
    <x v="11"/>
    <s v="Numero de supervisão realizadas"/>
    <s v="Capacidades de PNLT para gestão de  TB MR  reforçadas"/>
    <n v="747.33"/>
    <n v="747.33"/>
    <n v="747.33"/>
    <n v="747.33"/>
    <n v="747.33"/>
    <n v="3736.65"/>
    <m/>
    <m/>
    <m/>
    <m/>
    <n v="3736.65"/>
    <m/>
    <m/>
  </r>
  <r>
    <n v="123"/>
    <s v="7.15"/>
    <s v="Assegurar o envio de amostras de pacientes suspeitos para CPC, durante 5 anos"/>
    <n v="1"/>
    <x v="4"/>
    <n v="5"/>
    <x v="12"/>
    <m/>
    <s v="Capacidades de PNLT para gestão de  TB MR  reforçadas"/>
    <n v="0"/>
    <n v="0"/>
    <n v="0"/>
    <n v="0"/>
    <n v="0"/>
    <n v="0"/>
    <n v="0"/>
    <n v="0"/>
    <n v="0"/>
    <n v="0"/>
    <n v="0"/>
    <m/>
    <n v="0"/>
  </r>
  <r>
    <n v="124"/>
    <s v="7.16"/>
    <s v="Disponibilizar o plano de seguimento dos casos TB MR conforme as directrizes da OMS"/>
    <n v="2"/>
    <x v="4"/>
    <n v="5"/>
    <x v="11"/>
    <m/>
    <s v="Capacidades de PNLT para gestão de  TB MR  reforçadas"/>
    <n v="0"/>
    <n v="0"/>
    <n v="0"/>
    <n v="0"/>
    <n v="0"/>
    <n v="0"/>
    <n v="0"/>
    <n v="0"/>
    <n v="0"/>
    <n v="0"/>
    <n v="0"/>
    <m/>
    <n v="0"/>
  </r>
  <r>
    <n v="125"/>
    <s v="7.17"/>
    <s v="Reabilitação e adapatação das estruturas existentes ao  tratamento de TB MR "/>
    <n v="1"/>
    <x v="4"/>
    <n v="5"/>
    <x v="8"/>
    <m/>
    <s v="Capacidades de PNLT para gestão de  TB MR  reforçadas"/>
    <n v="0"/>
    <n v="0"/>
    <n v="30000"/>
    <n v="0"/>
    <n v="0"/>
    <n v="30000"/>
    <n v="30000"/>
    <m/>
    <m/>
    <m/>
    <m/>
    <m/>
    <m/>
  </r>
  <r>
    <n v="126"/>
    <s v="7.18"/>
    <s v="Assegurar a formação de 54 agentes de saúde n manejo de casos da Tuberculose multiresistente (18 médicos, 18 enfermeiros, 9 técnicos de farmácia e 9 de laboratório)"/>
    <n v="1"/>
    <x v="4"/>
    <n v="5"/>
    <x v="8"/>
    <m/>
    <s v="Capacidades de PNLT para gestão de  TB MR  reforçadas"/>
    <n v="11013.44"/>
    <m/>
    <n v="11013.44"/>
    <n v="0"/>
    <n v="0"/>
    <n v="22026.880000000001"/>
    <n v="22026.880000000001"/>
    <m/>
    <m/>
    <m/>
    <m/>
    <m/>
    <m/>
  </r>
  <r>
    <n v="127"/>
    <s v="7.19"/>
    <s v="Fazer advocacia para a mobilização e a alocação dos recursos necessários para a luta contra a TBMR"/>
    <n v="1"/>
    <x v="4"/>
    <n v="5"/>
    <x v="11"/>
    <m/>
    <s v="Capacidades de PNLT para gestão de  TB MR  reforçadas"/>
    <n v="152.30000000000001"/>
    <n v="152.30000000000001"/>
    <n v="152.30000000000001"/>
    <n v="152.30000000000001"/>
    <n v="152.30000000000001"/>
    <n v="761.5"/>
    <m/>
    <m/>
    <m/>
    <m/>
    <n v="761.5"/>
    <m/>
    <m/>
  </r>
  <r>
    <n v="128"/>
    <s v="7.20"/>
    <s v="Assegurar a formação de três (3) quadros do programa em gestão de TB multirresistente."/>
    <m/>
    <x v="4"/>
    <n v="5"/>
    <x v="11"/>
    <m/>
    <s v="Capacidades de PNLT para gestão de  TB MR  reforçadas"/>
    <n v="44304"/>
    <n v="0"/>
    <n v="22152"/>
    <n v="0"/>
    <n v="0"/>
    <n v="66456"/>
    <n v="66456"/>
    <m/>
    <m/>
    <m/>
    <m/>
    <m/>
    <m/>
  </r>
  <r>
    <n v="129"/>
    <s v="7.21"/>
    <s v="Formar 20 pessoal de terreno para a recolha e transporte de amostras"/>
    <m/>
    <x v="4"/>
    <n v="5"/>
    <x v="12"/>
    <m/>
    <s v="Capacidades de PNLT para gestão de  TB MR  reforçadas"/>
    <n v="0"/>
    <n v="4352.2555555555555"/>
    <n v="0"/>
    <n v="0"/>
    <n v="0"/>
    <n v="4352.2555555555555"/>
    <m/>
    <m/>
    <m/>
    <m/>
    <m/>
    <m/>
    <n v="4352.2555555555555"/>
  </r>
  <r>
    <n v="130"/>
    <s v="7.22"/>
    <s v="Implementar o sistema de rastreamento das amostras do desde a recolha até ao tratamento"/>
    <n v="1"/>
    <x v="4"/>
    <n v="5"/>
    <x v="12"/>
    <m/>
    <s v="Capacidades de PNLT para gestão de  TB MR  reforçadas"/>
    <n v="750"/>
    <n v="750"/>
    <n v="750"/>
    <n v="750"/>
    <n v="750"/>
    <n v="3750"/>
    <m/>
    <m/>
    <m/>
    <m/>
    <n v="3750"/>
    <m/>
    <m/>
  </r>
  <r>
    <n v="131"/>
    <s v="7.23"/>
    <s v="Tratar 100% dos casos de TB MR confirmados  até 2017"/>
    <n v="1"/>
    <x v="4"/>
    <n v="5"/>
    <x v="8"/>
    <m/>
    <s v="Capacidades de PNLT para gestão de  TB MR  reforçadas"/>
    <n v="0"/>
    <n v="0"/>
    <n v="0"/>
    <n v="0"/>
    <n v="0"/>
    <n v="0"/>
    <n v="0"/>
    <n v="0"/>
    <n v="0"/>
    <n v="0"/>
    <n v="0"/>
    <m/>
    <n v="0"/>
  </r>
  <r>
    <n v="132"/>
    <s v="7.24"/>
    <s v="Assegurar o tratamento diretamente observado (TDO) a todos os os pacientes MR em tratamento"/>
    <n v="1"/>
    <x v="4"/>
    <n v="5"/>
    <x v="8"/>
    <m/>
    <s v="Capacidades de PNLT para gestão de  TB MR  reforçadas"/>
    <n v="6103.6111111111113"/>
    <n v="6103.6111111111113"/>
    <n v="6103.6111111111113"/>
    <n v="6103.6111111111113"/>
    <n v="6103.6111111111113"/>
    <n v="30518.055555555555"/>
    <n v="30518.055555555555"/>
    <m/>
    <m/>
    <m/>
    <m/>
    <m/>
    <m/>
  </r>
  <r>
    <n v="133"/>
    <s v="7.25"/>
    <s v="Identificar todos os pacientes irregulares ao tratamento"/>
    <n v="1"/>
    <x v="4"/>
    <n v="5"/>
    <x v="8"/>
    <m/>
    <s v="Capacidades de PNLT para gestão de  TB MR  reforçadas"/>
    <n v="0"/>
    <n v="0"/>
    <n v="0"/>
    <n v="0"/>
    <n v="0"/>
    <n v="0"/>
    <n v="0"/>
    <n v="0"/>
    <n v="0"/>
    <n v="0"/>
    <n v="0"/>
    <m/>
    <n v="0"/>
  </r>
  <r>
    <n v="134"/>
    <s v="7.26"/>
    <s v="Assegurar o seguimento dos efeitos adversos do tratamento TB MR nos doentes colocados sob tratamento, até 2017"/>
    <n v="1"/>
    <x v="4"/>
    <n v="5"/>
    <x v="8"/>
    <m/>
    <s v="Capacidades de PNLT para gestão de  TB MR  reforçadas"/>
    <n v="225"/>
    <n v="250"/>
    <n v="266.66666666666669"/>
    <n v="277.77777777777777"/>
    <n v="319.44444444444446"/>
    <n v="1338.8888888888891"/>
    <m/>
    <m/>
    <m/>
    <m/>
    <n v="1338.8888888888891"/>
    <m/>
    <m/>
  </r>
  <r>
    <n v="135"/>
    <s v="7.27"/>
    <s v="Assegurar o manejo dos efeitos adversos a qualquer paciente sob tratamento, até 2017"/>
    <n v="1"/>
    <x v="4"/>
    <n v="5"/>
    <x v="8"/>
    <m/>
    <s v="Capacidades de PNLT para gestão de  TB MR  reforçadas"/>
    <n v="4608"/>
    <n v="4608"/>
    <n v="4608"/>
    <n v="4608"/>
    <n v="4608"/>
    <n v="23040"/>
    <m/>
    <m/>
    <m/>
    <m/>
    <n v="23040"/>
    <m/>
    <m/>
  </r>
  <r>
    <n v="136"/>
    <s v="7.28"/>
    <s v=" Formar  - para cada paciente ao tratamento - um membro da Comunidade para a realização do TDO, até 2017 (488 Membres de la communauté)"/>
    <n v="1"/>
    <x v="4"/>
    <n v="5"/>
    <x v="13"/>
    <s v="Percentagem de pacientes com efeitos secundários que foram tratados"/>
    <s v="Capacidades de PNLT para gestão de  TB MR  reforçadas"/>
    <n v="2796.6"/>
    <n v="2720.6"/>
    <n v="2720.6"/>
    <n v="2720.6"/>
    <n v="2780.3"/>
    <n v="13738.7"/>
    <n v="13738.7"/>
    <m/>
    <m/>
    <m/>
    <m/>
    <m/>
    <m/>
  </r>
  <r>
    <n v="137"/>
    <s v="7.29"/>
    <s v="Implementar até 2015, o mecanismo de farmacovigilância para pacientes em tratamento."/>
    <n v="1"/>
    <x v="4"/>
    <n v="5"/>
    <x v="8"/>
    <m/>
    <s v="Capacidades de PNLT para gestão de  TB MR  reforçadas"/>
    <n v="5584.7"/>
    <n v="5584.7"/>
    <n v="5584.7"/>
    <n v="5584.7"/>
    <n v="5584.7"/>
    <n v="27923.5"/>
    <n v="27923.5"/>
    <m/>
    <m/>
    <m/>
    <m/>
    <m/>
    <m/>
  </r>
  <r>
    <n v="138"/>
    <s v="7.30"/>
    <s v="Treinar 16 rofessionais para a utilização das orientações e ferramentas de coleta de dados"/>
    <n v="1"/>
    <x v="4"/>
    <n v="5"/>
    <x v="11"/>
    <m/>
    <s v="Capacidades de PNLT para gestão de  TB MR  reforçadas"/>
    <n v="4048.3"/>
    <n v="0"/>
    <n v="0"/>
    <n v="0"/>
    <n v="0"/>
    <n v="4048.3"/>
    <m/>
    <m/>
    <m/>
    <m/>
    <m/>
    <m/>
    <n v="4048.3"/>
  </r>
  <r>
    <n v="139"/>
    <s v="7.31"/>
    <s v="Formar 50 gestores do sistema de saúde na exploração e análise de dados para tomada de decisão"/>
    <n v="2"/>
    <x v="4"/>
    <n v="5"/>
    <x v="11"/>
    <m/>
    <s v="Capacidades de PNLT para gestão de  TB MR  reforçadas"/>
    <n v="6686.0555555555557"/>
    <n v="6686.0555555555557"/>
    <n v="0"/>
    <n v="0"/>
    <n v="0"/>
    <n v="13372.111111111111"/>
    <m/>
    <m/>
    <m/>
    <m/>
    <m/>
    <m/>
    <n v="13372.111111111111"/>
  </r>
  <r>
    <n v="140"/>
    <s v="7.32"/>
    <s v="Advogar junto aos decisores (CNE, DAF e MSAS,.) para o planificação e orçamentação da supervisão, de forma regular "/>
    <n v="3"/>
    <x v="4"/>
    <n v="5"/>
    <x v="11"/>
    <m/>
    <s v="Capacidades de PNLT para gestão de  TB MR  reforçadas"/>
    <n v="92.833333333333329"/>
    <n v="92.833333333333329"/>
    <n v="92.833333333333329"/>
    <n v="92.833333333333329"/>
    <n v="0"/>
    <n v="371.33333333333331"/>
    <m/>
    <m/>
    <m/>
    <m/>
    <n v="371.33333333333331"/>
    <m/>
    <m/>
  </r>
  <r>
    <n v="141"/>
    <s v="7.33"/>
    <s v="Rever e alinhar o Plano S &amp; A TBMR  ao caneta 2013-2017"/>
    <n v="1"/>
    <x v="4"/>
    <n v="5"/>
    <x v="11"/>
    <m/>
    <m/>
    <n v="0"/>
    <n v="0"/>
    <n v="6502.7564645041803"/>
    <n v="0"/>
    <n v="0"/>
    <n v="6502.7564645041803"/>
    <n v="6502.7564645041803"/>
    <m/>
    <m/>
    <m/>
    <m/>
    <m/>
    <m/>
  </r>
  <r>
    <n v="142"/>
    <s v="7.34"/>
    <s v="Elaborar directrizes de vigilância de TBMR"/>
    <n v="1"/>
    <x v="4"/>
    <n v="5"/>
    <x v="11"/>
    <m/>
    <s v="Capacidades de PNLT para gestão de  TB MR  reforçadas"/>
    <n v="14028.4"/>
    <n v="0"/>
    <n v="0"/>
    <n v="0"/>
    <n v="0"/>
    <n v="14028.4"/>
    <m/>
    <m/>
    <n v="14028.4"/>
    <m/>
    <m/>
    <m/>
    <m/>
  </r>
  <r>
    <n v="143"/>
    <s v="7.35"/>
    <s v="Doptar o PNLT de um ponto focal de TBMR  "/>
    <n v="1"/>
    <x v="4"/>
    <n v="5"/>
    <x v="11"/>
    <m/>
    <s v="Capacidades de PNLT para gestão de  TB MR  reforçadas"/>
    <n v="0"/>
    <n v="0"/>
    <n v="0"/>
    <n v="0"/>
    <n v="0"/>
    <n v="0"/>
    <n v="0"/>
    <n v="0"/>
    <n v="0"/>
    <n v="0"/>
    <n v="0"/>
    <m/>
    <n v="0"/>
  </r>
  <r>
    <n v="144"/>
    <s v="7.36"/>
    <s v="Reforçar a capacidade (formar e reciclar) dos quadros para a gestão de TBMR"/>
    <n v="1"/>
    <x v="4"/>
    <n v="5"/>
    <x v="11"/>
    <m/>
    <s v="Capacidades de PNLT para gestão de  TB MR  reforçadas"/>
    <n v="3520.3"/>
    <n v="0"/>
    <n v="0"/>
    <n v="0"/>
    <n v="0"/>
    <n v="3520.3"/>
    <m/>
    <m/>
    <m/>
    <m/>
    <m/>
    <m/>
    <n v="3520.3"/>
  </r>
  <r>
    <n v="145"/>
    <s v="7.37"/>
    <s v="Elaborar o plano nacional para controlo da infecção tuberculina em São Tomé e Príncipe até finais de 2015"/>
    <n v="1"/>
    <x v="4"/>
    <n v="5"/>
    <x v="11"/>
    <m/>
    <s v="Elaborar o plano nacional para o controlo da infecção tuberculosa em STP até final de 2015"/>
    <n v="0"/>
    <n v="0"/>
    <n v="9538.8791176069535"/>
    <n v="0"/>
    <n v="0"/>
    <n v="9538.8791176069535"/>
    <m/>
    <m/>
    <n v="9538.8791176069535"/>
    <m/>
    <m/>
    <m/>
    <m/>
  </r>
  <r>
    <n v="146"/>
    <s v="7.38"/>
    <s v="Aprovisionar as estruturas de saúde com TB MR de meios de protecção individual contra a infecção tuberculosa (máscaras respiradoras)"/>
    <n v="1"/>
    <x v="4"/>
    <n v="5"/>
    <x v="14"/>
    <m/>
    <s v="Capacidades de PNLT para gestão de  TB MR  reforçadas"/>
    <n v="10890"/>
    <n v="19327.5"/>
    <n v="24512.5"/>
    <n v="24512.5"/>
    <n v="24512.5"/>
    <n v="103755"/>
    <n v="103755"/>
    <m/>
    <m/>
    <m/>
    <m/>
    <m/>
    <m/>
  </r>
  <r>
    <n v="147"/>
    <s v="7.39"/>
    <s v="Formar 150 profissionais de saúde no controlo da infecção  eTB MR nas unidades sanitárias"/>
    <n v="1"/>
    <x v="4"/>
    <n v="5"/>
    <x v="14"/>
    <m/>
    <s v="Capacidades de PNLT para gestão de  TB MR  reforçadas"/>
    <n v="0"/>
    <n v="0"/>
    <n v="33095.055555555555"/>
    <n v="33095.055555555555"/>
    <n v="0"/>
    <n v="66190.111111111109"/>
    <n v="66190.111111111109"/>
    <m/>
    <m/>
    <m/>
    <m/>
    <m/>
    <m/>
  </r>
  <r>
    <n v="148"/>
    <s v="7.40"/>
    <s v="Realizar um inquérito sobre a aplicação das normas internacionais de controlo da infecção TBMR "/>
    <n v="2"/>
    <x v="4"/>
    <n v="5"/>
    <x v="14"/>
    <m/>
    <s v="Capacidades de PNLT para gestão de  TB MR  reforçadas"/>
    <n v="0"/>
    <n v="0"/>
    <n v="15000"/>
    <n v="0"/>
    <n v="0"/>
    <n v="15000"/>
    <m/>
    <m/>
    <m/>
    <m/>
    <m/>
    <m/>
    <n v="15000"/>
  </r>
  <r>
    <n v="149"/>
    <s v="7.41"/>
    <s v="Elaborar e multiplicar os materiais de sensibilização dos membros da comunidade sob controlo da infecção"/>
    <n v="1"/>
    <x v="4"/>
    <n v="5"/>
    <x v="13"/>
    <m/>
    <s v="Capacidades de PNLT para gestão de  TB MR  reforçadas"/>
    <n v="0"/>
    <n v="4390.6000000000004"/>
    <n v="0"/>
    <n v="0"/>
    <n v="0"/>
    <n v="4390.6000000000004"/>
    <n v="4390.6000000000004"/>
    <m/>
    <m/>
    <m/>
    <m/>
    <m/>
    <m/>
  </r>
  <r>
    <n v="150"/>
    <s v="7.42"/>
    <s v="Realizar um estudo para a reabilitação/adaptação das infraestruturas de tratamento da TB. Segundo as normas internacionais de controlo da infecção"/>
    <n v="2"/>
    <x v="4"/>
    <n v="5"/>
    <x v="11"/>
    <m/>
    <s v="Capacidades de PNLT para gestão de  TB MR  reforçadas"/>
    <n v="0"/>
    <n v="0"/>
    <n v="10583.9"/>
    <n v="0"/>
    <n v="0"/>
    <n v="10583.9"/>
    <m/>
    <m/>
    <m/>
    <m/>
    <m/>
    <m/>
    <n v="10583.9"/>
  </r>
  <r>
    <n v="151"/>
    <s v="7.43"/>
    <s v="Elaborar as normas nacionais para construção de Insfrestruturas de saúde em STP, até final de 2014"/>
    <n v="1"/>
    <x v="4"/>
    <n v="5"/>
    <x v="11"/>
    <m/>
    <s v="Capacidades de PNLT para gestão de  TB MR  reforçadas"/>
    <n v="0"/>
    <n v="0"/>
    <n v="0"/>
    <n v="5857.4564645041792"/>
    <n v="0"/>
    <n v="5857.4564645041792"/>
    <m/>
    <m/>
    <n v="5857.4564645041792"/>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name="Tabela dinâmica2" cacheId="11" applyNumberFormats="0" applyBorderFormats="0" applyFontFormats="0" applyPatternFormats="0" applyAlignmentFormats="0" applyWidthHeightFormats="1" dataCaption="Valores" updatedVersion="3" minRefreshableVersion="3" showCalcMbrs="0" useAutoFormatting="1" itemPrintTitles="1" createdVersion="3" indent="0" outline="1" outlineData="1" multipleFieldFilters="0">
  <location ref="A3:F26" firstHeaderRow="1" firstDataRow="2" firstDataCol="1"/>
  <pivotFields count="22">
    <pivotField showAll="0"/>
    <pivotField showAll="0"/>
    <pivotField showAll="0"/>
    <pivotField showAll="0"/>
    <pivotField axis="axisRow" showAll="0">
      <items count="6">
        <item x="3"/>
        <item x="0"/>
        <item x="2"/>
        <item x="1"/>
        <item x="4"/>
        <item t="default"/>
      </items>
    </pivotField>
    <pivotField showAll="0"/>
    <pivotField axis="axisRow" showAll="0">
      <items count="16">
        <item x="1"/>
        <item x="12"/>
        <item x="10"/>
        <item x="7"/>
        <item x="0"/>
        <item x="3"/>
        <item x="9"/>
        <item x="5"/>
        <item x="8"/>
        <item x="2"/>
        <item x="14"/>
        <item x="4"/>
        <item x="6"/>
        <item x="13"/>
        <item x="11"/>
        <item t="default"/>
      </items>
    </pivotField>
    <pivotField showAll="0" defaultSubtotal="0"/>
    <pivotField showAll="0" defaultSubtotal="0"/>
    <pivotField dataField="1" showAll="0"/>
    <pivotField dataField="1" showAll="0"/>
    <pivotField dataField="1" showAll="0"/>
    <pivotField dataField="1" showAll="0"/>
    <pivotField dataField="1" showAll="0"/>
    <pivotField numFmtId="4" showAll="0"/>
    <pivotField showAll="0"/>
    <pivotField showAll="0"/>
    <pivotField showAll="0"/>
    <pivotField showAll="0"/>
    <pivotField showAll="0"/>
    <pivotField showAll="0"/>
    <pivotField showAll="0"/>
  </pivotFields>
  <rowFields count="2">
    <field x="4"/>
    <field x="6"/>
  </rowFields>
  <rowItems count="22">
    <i>
      <x/>
    </i>
    <i r="1">
      <x v="2"/>
    </i>
    <i r="1">
      <x v="6"/>
    </i>
    <i>
      <x v="1"/>
    </i>
    <i r="1">
      <x v="4"/>
    </i>
    <i r="1">
      <x v="5"/>
    </i>
    <i r="1">
      <x v="9"/>
    </i>
    <i>
      <x v="2"/>
    </i>
    <i r="1">
      <x v="3"/>
    </i>
    <i r="1">
      <x v="8"/>
    </i>
    <i r="1">
      <x v="11"/>
    </i>
    <i r="1">
      <x v="12"/>
    </i>
    <i>
      <x v="3"/>
    </i>
    <i r="1">
      <x/>
    </i>
    <i r="1">
      <x v="7"/>
    </i>
    <i>
      <x v="4"/>
    </i>
    <i r="1">
      <x v="1"/>
    </i>
    <i r="1">
      <x v="8"/>
    </i>
    <i r="1">
      <x v="10"/>
    </i>
    <i r="1">
      <x v="13"/>
    </i>
    <i r="1">
      <x v="14"/>
    </i>
    <i t="grand">
      <x/>
    </i>
  </rowItems>
  <colFields count="1">
    <field x="-2"/>
  </colFields>
  <colItems count="5">
    <i>
      <x/>
    </i>
    <i i="1">
      <x v="1"/>
    </i>
    <i i="2">
      <x v="2"/>
    </i>
    <i i="3">
      <x v="3"/>
    </i>
    <i i="4">
      <x v="4"/>
    </i>
  </colItems>
  <dataFields count="5">
    <dataField name="Soma de Orçamento 2013" fld="9" baseField="0" baseItem="0"/>
    <dataField name="Soma de Orçamento 2014" fld="10" baseField="0" baseItem="0"/>
    <dataField name="Soma de Orçamento 2015" fld="11" baseField="0" baseItem="0"/>
    <dataField name="Soma de Orçamento 2016" fld="12" baseField="0" baseItem="0"/>
    <dataField name="Soma de Orçamento 2017" fld="13" baseField="0" baseItem="0"/>
  </dataFields>
  <pivotTableStyleInfo name="PivotStyleLight16" showRowHeaders="1" showColHeaders="1" showRowStripes="0" showColStripes="0" showLastColumn="1"/>
</pivotTableDefinition>
</file>

<file path=xl/pivotTables/pivotTable10.xml><?xml version="1.0" encoding="utf-8"?>
<pivotTableDefinition xmlns="http://schemas.openxmlformats.org/spreadsheetml/2006/main" name="Tabela dinâmica8" cacheId="10" applyNumberFormats="0" applyBorderFormats="0" applyFontFormats="0" applyPatternFormats="0" applyAlignmentFormats="0" applyWidthHeightFormats="1" dataCaption="Valores" updatedVersion="3" minRefreshableVersion="3" showCalcMbrs="0" useAutoFormatting="1" itemPrintTitles="1" createdVersion="3" indent="0" outline="1" outlineData="1" multipleFieldFilters="0">
  <location ref="D10:E21" firstHeaderRow="1" firstDataRow="1" firstDataCol="1" rowPageCount="2" colPageCount="1"/>
  <pivotFields count="23">
    <pivotField showAll="0"/>
    <pivotField showAll="0"/>
    <pivotField showAll="0"/>
    <pivotField axis="axisPage" showAll="0">
      <items count="4">
        <item x="1"/>
        <item x="0"/>
        <item x="2"/>
        <item t="default"/>
      </items>
    </pivotField>
    <pivotField axis="axisRow" showAll="0">
      <items count="6">
        <item x="4"/>
        <item x="0"/>
        <item x="2"/>
        <item x="3"/>
        <item x="1"/>
        <item t="default"/>
      </items>
    </pivotField>
    <pivotField showAll="0"/>
    <pivotField axis="axisRow" showAll="0">
      <items count="16">
        <item x="1"/>
        <item x="12"/>
        <item x="10"/>
        <item x="7"/>
        <item x="0"/>
        <item x="3"/>
        <item x="9"/>
        <item x="5"/>
        <item x="8"/>
        <item x="2"/>
        <item x="14"/>
        <item x="4"/>
        <item x="6"/>
        <item x="13"/>
        <item x="11"/>
        <item t="default"/>
      </items>
    </pivotField>
    <pivotField showAll="0" defaultSubtotal="0"/>
    <pivotField showAll="0" defaultSubtotal="0"/>
    <pivotField showAll="0" defaultSubtotal="0"/>
    <pivotField axis="axisPage" showAll="0" defaultSubtotal="0">
      <items count="11">
        <item x="3"/>
        <item x="0"/>
        <item x="5"/>
        <item x="4"/>
        <item x="7"/>
        <item x="1"/>
        <item x="6"/>
        <item x="8"/>
        <item x="9"/>
        <item x="10"/>
        <item x="2"/>
      </items>
    </pivotField>
    <pivotField showAll="0" defaultSubtotal="0"/>
    <pivotField showAll="0"/>
    <pivotField showAll="0"/>
    <pivotField showAll="0"/>
    <pivotField showAll="0"/>
    <pivotField dataField="1" showAll="0"/>
    <pivotField showAll="0"/>
    <pivotField showAll="0"/>
    <pivotField showAll="0"/>
    <pivotField showAll="0"/>
    <pivotField showAll="0"/>
    <pivotField showAll="0" defaultSubtotal="0"/>
  </pivotFields>
  <rowFields count="2">
    <field x="4"/>
    <field x="6"/>
  </rowFields>
  <rowItems count="11">
    <i>
      <x v="1"/>
    </i>
    <i r="1">
      <x v="4"/>
    </i>
    <i r="1">
      <x v="5"/>
    </i>
    <i>
      <x v="2"/>
    </i>
    <i r="1">
      <x v="3"/>
    </i>
    <i r="1">
      <x v="9"/>
    </i>
    <i>
      <x v="4"/>
    </i>
    <i r="1">
      <x v="1"/>
    </i>
    <i r="1">
      <x v="8"/>
    </i>
    <i r="1">
      <x v="14"/>
    </i>
    <i t="grand">
      <x/>
    </i>
  </rowItems>
  <colItems count="1">
    <i/>
  </colItems>
  <pageFields count="2">
    <pageField fld="3" item="0" hier="-1"/>
    <pageField fld="10" item="3" hier="-1"/>
  </pageFields>
  <dataFields count="1">
    <dataField name="Soma de FG" fld="16" baseField="0" baseItem="0"/>
  </dataFields>
  <pivotTableStyleInfo name="PivotStyleLight16" showRowHeaders="1" showColHeaders="1" showRowStripes="0" showColStripes="0" showLastColumn="1"/>
</pivotTableDefinition>
</file>

<file path=xl/pivotTables/pivotTable11.xml><?xml version="1.0" encoding="utf-8"?>
<pivotTableDefinition xmlns="http://schemas.openxmlformats.org/spreadsheetml/2006/main" name="Tabela dinâmica1" cacheId="6" applyNumberFormats="0" applyBorderFormats="0" applyFontFormats="0" applyPatternFormats="0" applyAlignmentFormats="0" applyWidthHeightFormats="1" dataCaption="Valores" updatedVersion="3" minRefreshableVersion="3" showCalcMbrs="0" useAutoFormatting="1" itemPrintTitles="1" createdVersion="3" indent="0" outline="1" outlineData="1" multipleFieldFilters="0">
  <location ref="A16:G39" firstHeaderRow="1" firstDataRow="2" firstDataCol="1" rowPageCount="1" colPageCount="1"/>
  <pivotFields count="20">
    <pivotField showAll="0"/>
    <pivotField showAll="0"/>
    <pivotField showAll="0"/>
    <pivotField axis="axisPage" showAll="0">
      <items count="4">
        <item x="1"/>
        <item x="0"/>
        <item x="2"/>
        <item t="default"/>
      </items>
    </pivotField>
    <pivotField axis="axisRow" showAll="0">
      <items count="6">
        <item x="3"/>
        <item x="0"/>
        <item x="2"/>
        <item x="1"/>
        <item x="4"/>
        <item t="default"/>
      </items>
    </pivotField>
    <pivotField showAll="0"/>
    <pivotField axis="axisRow" showAll="0">
      <items count="16">
        <item x="1"/>
        <item x="12"/>
        <item x="10"/>
        <item x="7"/>
        <item x="0"/>
        <item x="3"/>
        <item x="9"/>
        <item x="5"/>
        <item x="8"/>
        <item x="2"/>
        <item x="14"/>
        <item x="4"/>
        <item x="6"/>
        <item x="13"/>
        <item x="11"/>
        <item t="default"/>
      </items>
    </pivotField>
    <pivotField showAll="0" defaultSubtotal="0"/>
    <pivotField showAll="0" defaultSubtotal="0"/>
    <pivotField showAll="0"/>
    <pivotField showAll="0"/>
    <pivotField showAll="0"/>
    <pivotField numFmtId="4" showAll="0" defaultSubtotal="0"/>
    <pivotField dataField="1" showAll="0"/>
    <pivotField dataField="1" showAll="0"/>
    <pivotField dataField="1" showAll="0"/>
    <pivotField dataField="1" showAll="0"/>
    <pivotField dataField="1" showAll="0"/>
    <pivotField showAll="0"/>
    <pivotField dataField="1" showAll="0" defaultSubtotal="0"/>
  </pivotFields>
  <rowFields count="2">
    <field x="4"/>
    <field x="6"/>
  </rowFields>
  <rowItems count="22">
    <i>
      <x/>
    </i>
    <i r="1">
      <x v="2"/>
    </i>
    <i r="1">
      <x v="6"/>
    </i>
    <i>
      <x v="1"/>
    </i>
    <i r="1">
      <x v="4"/>
    </i>
    <i r="1">
      <x v="5"/>
    </i>
    <i r="1">
      <x v="9"/>
    </i>
    <i>
      <x v="2"/>
    </i>
    <i r="1">
      <x v="3"/>
    </i>
    <i r="1">
      <x v="8"/>
    </i>
    <i r="1">
      <x v="11"/>
    </i>
    <i r="1">
      <x v="12"/>
    </i>
    <i>
      <x v="3"/>
    </i>
    <i r="1">
      <x/>
    </i>
    <i r="1">
      <x v="7"/>
    </i>
    <i>
      <x v="4"/>
    </i>
    <i r="1">
      <x v="1"/>
    </i>
    <i r="1">
      <x v="8"/>
    </i>
    <i r="1">
      <x v="10"/>
    </i>
    <i r="1">
      <x v="13"/>
    </i>
    <i r="1">
      <x v="14"/>
    </i>
    <i t="grand">
      <x/>
    </i>
  </rowItems>
  <colFields count="1">
    <field x="-2"/>
  </colFields>
  <colItems count="6">
    <i>
      <x/>
    </i>
    <i i="1">
      <x v="1"/>
    </i>
    <i i="2">
      <x v="2"/>
    </i>
    <i i="3">
      <x v="3"/>
    </i>
    <i i="4">
      <x v="4"/>
    </i>
    <i i="5">
      <x v="5"/>
    </i>
  </colItems>
  <pageFields count="1">
    <pageField fld="3" item="0" hier="-1"/>
  </pageFields>
  <dataFields count="6">
    <dataField name="Soma de FG" fld="13" baseField="0" baseItem="0"/>
    <dataField name="Soma de Brasil " fld="14" baseField="0" baseItem="0"/>
    <dataField name="Soma de OMS " fld="15" baseField="0" baseItem="0"/>
    <dataField name="Soma de Portugal/Saúde para Todos " fld="16" baseField="0" baseItem="0"/>
    <dataField name="Soma de GAP  2015" fld="19" baseField="0" baseItem="0"/>
    <dataField name="Soma de Governo " fld="17" baseField="0" baseItem="0"/>
  </dataFields>
  <formats count="2">
    <format dxfId="5">
      <pivotArea type="topRight" dataOnly="0" labelOnly="1" outline="0" fieldPosition="0"/>
    </format>
    <format dxfId="4">
      <pivotArea dataOnly="0" labelOnly="1" outline="0" fieldPosition="0">
        <references count="1">
          <reference field="4294967294" count="5">
            <x v="1"/>
            <x v="2"/>
            <x v="3"/>
            <x v="4"/>
            <x v="5"/>
          </reference>
        </references>
      </pivotArea>
    </format>
  </formats>
  <pivotTableStyleInfo name="PivotStyleLight16" showRowHeaders="1" showColHeaders="1" showRowStripes="0" showColStripes="0" showLastColumn="1"/>
</pivotTableDefinition>
</file>

<file path=xl/pivotTables/pivotTable12.xml><?xml version="1.0" encoding="utf-8"?>
<pivotTableDefinition xmlns="http://schemas.openxmlformats.org/spreadsheetml/2006/main" name="Tabela dinâmica3" cacheId="6" applyNumberFormats="0" applyBorderFormats="0" applyFontFormats="0" applyPatternFormats="0" applyAlignmentFormats="0" applyWidthHeightFormats="1" dataCaption="Valores" updatedVersion="3" minRefreshableVersion="3" showCalcMbrs="0" useAutoFormatting="1" itemPrintTitles="1" createdVersion="3" indent="0" outline="1" outlineData="1" multipleFieldFilters="0">
  <location ref="A4:G11" firstHeaderRow="1" firstDataRow="2" firstDataCol="1"/>
  <pivotFields count="20">
    <pivotField showAll="0"/>
    <pivotField showAll="0"/>
    <pivotField showAll="0"/>
    <pivotField showAll="0"/>
    <pivotField axis="axisRow" showAll="0">
      <items count="6">
        <item x="3"/>
        <item x="0"/>
        <item x="2"/>
        <item x="1"/>
        <item x="4"/>
        <item t="default"/>
      </items>
    </pivotField>
    <pivotField showAll="0"/>
    <pivotField showAll="0"/>
    <pivotField showAll="0" defaultSubtotal="0"/>
    <pivotField showAll="0" defaultSubtotal="0"/>
    <pivotField showAll="0"/>
    <pivotField showAll="0"/>
    <pivotField showAll="0"/>
    <pivotField numFmtId="4" showAll="0" defaultSubtotal="0"/>
    <pivotField dataField="1" showAll="0"/>
    <pivotField dataField="1" showAll="0"/>
    <pivotField dataField="1" showAll="0"/>
    <pivotField dataField="1" showAll="0"/>
    <pivotField dataField="1" showAll="0"/>
    <pivotField showAll="0"/>
    <pivotField dataField="1" showAll="0" defaultSubtotal="0"/>
  </pivotFields>
  <rowFields count="1">
    <field x="4"/>
  </rowFields>
  <rowItems count="6">
    <i>
      <x/>
    </i>
    <i>
      <x v="1"/>
    </i>
    <i>
      <x v="2"/>
    </i>
    <i>
      <x v="3"/>
    </i>
    <i>
      <x v="4"/>
    </i>
    <i t="grand">
      <x/>
    </i>
  </rowItems>
  <colFields count="1">
    <field x="-2"/>
  </colFields>
  <colItems count="6">
    <i>
      <x/>
    </i>
    <i i="1">
      <x v="1"/>
    </i>
    <i i="2">
      <x v="2"/>
    </i>
    <i i="3">
      <x v="3"/>
    </i>
    <i i="4">
      <x v="4"/>
    </i>
    <i i="5">
      <x v="5"/>
    </i>
  </colItems>
  <dataFields count="6">
    <dataField name="Soma de FG" fld="13" baseField="0" baseItem="0"/>
    <dataField name="Soma de Brasil " fld="14" baseField="0" baseItem="0"/>
    <dataField name="Soma de OMS " fld="15" baseField="0" baseItem="0"/>
    <dataField name="Soma de Portugal/Saúde para Todos " fld="16" baseField="0" baseItem="0"/>
    <dataField name="Soma de GAP  2015" fld="19" baseField="0" baseItem="0"/>
    <dataField name="Soma de Governo " fld="17" baseField="0" baseItem="0"/>
  </dataFields>
  <formats count="1">
    <format dxfId="6">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pivotTableDefinition>
</file>

<file path=xl/pivotTables/pivotTable13.xml><?xml version="1.0" encoding="utf-8"?>
<pivotTableDefinition xmlns="http://schemas.openxmlformats.org/spreadsheetml/2006/main" name="Tabela dinâmica3" cacheId="7" applyNumberFormats="0" applyBorderFormats="0" applyFontFormats="0" applyPatternFormats="0" applyAlignmentFormats="0" applyWidthHeightFormats="1" dataCaption="Valores" updatedVersion="3" minRefreshableVersion="3" showCalcMbrs="0" useAutoFormatting="1" itemPrintTitles="1" createdVersion="3" indent="0" outline="1" outlineData="1" multipleFieldFilters="0">
  <location ref="A4:H11" firstHeaderRow="1" firstDataRow="2" firstDataCol="1"/>
  <pivotFields count="20">
    <pivotField showAll="0"/>
    <pivotField showAll="0"/>
    <pivotField showAll="0"/>
    <pivotField showAll="0"/>
    <pivotField axis="axisRow" showAll="0">
      <items count="6">
        <item x="3"/>
        <item x="0"/>
        <item x="2"/>
        <item x="1"/>
        <item x="4"/>
        <item t="default"/>
      </items>
    </pivotField>
    <pivotField showAll="0"/>
    <pivotField showAll="0"/>
    <pivotField showAll="0" defaultSubtotal="0"/>
    <pivotField showAll="0" defaultSubtotal="0"/>
    <pivotField showAll="0"/>
    <pivotField dataField="1" showAll="0"/>
    <pivotField showAll="0"/>
    <pivotField numFmtId="4" showAll="0" defaultSubtotal="0"/>
    <pivotField dataField="1" showAll="0"/>
    <pivotField dataField="1" showAll="0"/>
    <pivotField dataField="1" showAll="0"/>
    <pivotField dataField="1" showAll="0"/>
    <pivotField dataField="1" showAll="0"/>
    <pivotField showAll="0"/>
    <pivotField dataField="1" showAll="0" defaultSubtotal="0"/>
  </pivotFields>
  <rowFields count="1">
    <field x="4"/>
  </rowFields>
  <rowItems count="6">
    <i>
      <x/>
    </i>
    <i>
      <x v="1"/>
    </i>
    <i>
      <x v="2"/>
    </i>
    <i>
      <x v="3"/>
    </i>
    <i>
      <x v="4"/>
    </i>
    <i t="grand">
      <x/>
    </i>
  </rowItems>
  <colFields count="1">
    <field x="-2"/>
  </colFields>
  <colItems count="7">
    <i>
      <x/>
    </i>
    <i i="1">
      <x v="1"/>
    </i>
    <i i="2">
      <x v="2"/>
    </i>
    <i i="3">
      <x v="3"/>
    </i>
    <i i="4">
      <x v="4"/>
    </i>
    <i i="5">
      <x v="5"/>
    </i>
    <i i="6">
      <x v="6"/>
    </i>
  </colItems>
  <dataFields count="7">
    <dataField name="Soma de FG" fld="13" baseField="0" baseItem="0"/>
    <dataField name="Soma de Brasil " fld="14" baseField="0" baseItem="0"/>
    <dataField name="Soma de OMS " fld="15" baseField="0" baseItem="0"/>
    <dataField name="Soma de Portugal/Saúde para Todos " fld="16" baseField="0" baseItem="0"/>
    <dataField name="Soma de Governo " fld="17" baseField="0" baseItem="0"/>
    <dataField name="Soma de GAP  2016" fld="19" baseField="0" baseItem="0"/>
    <dataField name="Soma de Orçamento 2016" fld="10" baseField="0" baseItem="0"/>
  </dataFields>
  <formats count="1">
    <format dxfId="2">
      <pivotArea dataOnly="0" labelOnly="1" outline="0" fieldPosition="0">
        <references count="1">
          <reference field="4294967294" count="7">
            <x v="0"/>
            <x v="1"/>
            <x v="2"/>
            <x v="3"/>
            <x v="4"/>
            <x v="5"/>
            <x v="6"/>
          </reference>
        </references>
      </pivotArea>
    </format>
  </formats>
  <pivotTableStyleInfo name="PivotStyleLight16" showRowHeaders="1" showColHeaders="1" showRowStripes="0" showColStripes="0" showLastColumn="1"/>
</pivotTableDefinition>
</file>

<file path=xl/pivotTables/pivotTable14.xml><?xml version="1.0" encoding="utf-8"?>
<pivotTableDefinition xmlns="http://schemas.openxmlformats.org/spreadsheetml/2006/main" name="Tabela dinâmica2" cacheId="7" applyNumberFormats="0" applyBorderFormats="0" applyFontFormats="0" applyPatternFormats="0" applyAlignmentFormats="0" applyWidthHeightFormats="1" dataCaption="Valores" updatedVersion="3" minRefreshableVersion="3" showCalcMbrs="0" useAutoFormatting="1" itemPrintTitles="1" createdVersion="3" indent="0" outline="1" outlineData="1" multipleFieldFilters="0">
  <location ref="A18:H41" firstHeaderRow="1" firstDataRow="2" firstDataCol="1" rowPageCount="1" colPageCount="1"/>
  <pivotFields count="20">
    <pivotField showAll="0"/>
    <pivotField showAll="0"/>
    <pivotField showAll="0"/>
    <pivotField axis="axisPage" showAll="0">
      <items count="4">
        <item x="1"/>
        <item x="0"/>
        <item x="2"/>
        <item t="default"/>
      </items>
    </pivotField>
    <pivotField axis="axisRow" showAll="0">
      <items count="6">
        <item x="3"/>
        <item x="0"/>
        <item x="2"/>
        <item x="1"/>
        <item x="4"/>
        <item t="default"/>
      </items>
    </pivotField>
    <pivotField showAll="0"/>
    <pivotField axis="axisRow" showAll="0">
      <items count="16">
        <item x="1"/>
        <item x="12"/>
        <item x="10"/>
        <item x="7"/>
        <item x="0"/>
        <item x="3"/>
        <item x="9"/>
        <item x="5"/>
        <item x="8"/>
        <item x="2"/>
        <item x="14"/>
        <item x="4"/>
        <item x="6"/>
        <item x="13"/>
        <item x="11"/>
        <item t="default"/>
      </items>
    </pivotField>
    <pivotField showAll="0" defaultSubtotal="0"/>
    <pivotField showAll="0" defaultSubtotal="0"/>
    <pivotField showAll="0"/>
    <pivotField dataField="1" showAll="0"/>
    <pivotField showAll="0"/>
    <pivotField numFmtId="4" showAll="0" defaultSubtotal="0"/>
    <pivotField dataField="1" showAll="0"/>
    <pivotField dataField="1" showAll="0"/>
    <pivotField dataField="1" showAll="0"/>
    <pivotField dataField="1" showAll="0"/>
    <pivotField dataField="1" showAll="0"/>
    <pivotField showAll="0"/>
    <pivotField dataField="1" showAll="0" defaultSubtotal="0"/>
  </pivotFields>
  <rowFields count="2">
    <field x="4"/>
    <field x="6"/>
  </rowFields>
  <rowItems count="22">
    <i>
      <x/>
    </i>
    <i r="1">
      <x v="2"/>
    </i>
    <i r="1">
      <x v="6"/>
    </i>
    <i>
      <x v="1"/>
    </i>
    <i r="1">
      <x v="4"/>
    </i>
    <i r="1">
      <x v="5"/>
    </i>
    <i r="1">
      <x v="9"/>
    </i>
    <i>
      <x v="2"/>
    </i>
    <i r="1">
      <x v="3"/>
    </i>
    <i r="1">
      <x v="8"/>
    </i>
    <i r="1">
      <x v="11"/>
    </i>
    <i r="1">
      <x v="12"/>
    </i>
    <i>
      <x v="3"/>
    </i>
    <i r="1">
      <x/>
    </i>
    <i r="1">
      <x v="7"/>
    </i>
    <i>
      <x v="4"/>
    </i>
    <i r="1">
      <x v="1"/>
    </i>
    <i r="1">
      <x v="8"/>
    </i>
    <i r="1">
      <x v="10"/>
    </i>
    <i r="1">
      <x v="13"/>
    </i>
    <i r="1">
      <x v="14"/>
    </i>
    <i t="grand">
      <x/>
    </i>
  </rowItems>
  <colFields count="1">
    <field x="-2"/>
  </colFields>
  <colItems count="7">
    <i>
      <x/>
    </i>
    <i i="1">
      <x v="1"/>
    </i>
    <i i="2">
      <x v="2"/>
    </i>
    <i i="3">
      <x v="3"/>
    </i>
    <i i="4">
      <x v="4"/>
    </i>
    <i i="5">
      <x v="5"/>
    </i>
    <i i="6">
      <x v="6"/>
    </i>
  </colItems>
  <pageFields count="1">
    <pageField fld="3" item="0" hier="-1"/>
  </pageFields>
  <dataFields count="7">
    <dataField name="Soma de FG" fld="13" baseField="0" baseItem="0"/>
    <dataField name="Soma de Brasil " fld="14" baseField="0" baseItem="0"/>
    <dataField name="Soma de OMS " fld="15" baseField="0" baseItem="0"/>
    <dataField name="Soma de Portugal/Saúde para Todos " fld="16" baseField="0" baseItem="0"/>
    <dataField name="Soma de Governo " fld="17" baseField="0" baseItem="0"/>
    <dataField name="Soma de GAP  2016" fld="19" baseField="0" baseItem="0"/>
    <dataField name="Soma de Orçamento 2016" fld="10" baseField="0" baseItem="0"/>
  </dataFields>
  <formats count="1">
    <format dxfId="3">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pivotTableDefinition>
</file>

<file path=xl/pivotTables/pivotTable15.xml><?xml version="1.0" encoding="utf-8"?>
<pivotTableDefinition xmlns="http://schemas.openxmlformats.org/spreadsheetml/2006/main" name="Tabela dinâmica4" cacheId="8" applyNumberFormats="0" applyBorderFormats="0" applyFontFormats="0" applyPatternFormats="0" applyAlignmentFormats="0" applyWidthHeightFormats="1" dataCaption="Valores" updatedVersion="3" minRefreshableVersion="3" showCalcMbrs="0" useAutoFormatting="1" itemPrintTitles="1" createdVersion="3" indent="0" outline="1" outlineData="1" multipleFieldFilters="0">
  <location ref="A18:H41" firstHeaderRow="1" firstDataRow="2" firstDataCol="1" rowPageCount="1" colPageCount="1"/>
  <pivotFields count="20">
    <pivotField showAll="0"/>
    <pivotField showAll="0"/>
    <pivotField showAll="0"/>
    <pivotField axis="axisPage" showAll="0">
      <items count="4">
        <item x="1"/>
        <item x="0"/>
        <item x="2"/>
        <item t="default"/>
      </items>
    </pivotField>
    <pivotField axis="axisRow" showAll="0">
      <items count="6">
        <item x="3"/>
        <item x="0"/>
        <item x="2"/>
        <item x="1"/>
        <item x="4"/>
        <item t="default"/>
      </items>
    </pivotField>
    <pivotField showAll="0"/>
    <pivotField axis="axisRow" showAll="0">
      <items count="16">
        <item x="1"/>
        <item x="12"/>
        <item x="10"/>
        <item x="7"/>
        <item x="0"/>
        <item x="3"/>
        <item x="9"/>
        <item x="5"/>
        <item x="8"/>
        <item x="2"/>
        <item x="14"/>
        <item x="4"/>
        <item x="6"/>
        <item x="13"/>
        <item x="11"/>
        <item t="default"/>
      </items>
    </pivotField>
    <pivotField showAll="0" defaultSubtotal="0"/>
    <pivotField showAll="0" defaultSubtotal="0"/>
    <pivotField showAll="0"/>
    <pivotField showAll="0"/>
    <pivotField dataField="1" showAll="0"/>
    <pivotField numFmtId="4" showAll="0" defaultSubtotal="0"/>
    <pivotField dataField="1" showAll="0"/>
    <pivotField dataField="1" showAll="0"/>
    <pivotField dataField="1" showAll="0"/>
    <pivotField dataField="1" showAll="0"/>
    <pivotField dataField="1" showAll="0"/>
    <pivotField showAll="0"/>
    <pivotField dataField="1" showAll="0" defaultSubtotal="0"/>
  </pivotFields>
  <rowFields count="2">
    <field x="4"/>
    <field x="6"/>
  </rowFields>
  <rowItems count="22">
    <i>
      <x/>
    </i>
    <i r="1">
      <x v="2"/>
    </i>
    <i r="1">
      <x v="6"/>
    </i>
    <i>
      <x v="1"/>
    </i>
    <i r="1">
      <x v="4"/>
    </i>
    <i r="1">
      <x v="5"/>
    </i>
    <i r="1">
      <x v="9"/>
    </i>
    <i>
      <x v="2"/>
    </i>
    <i r="1">
      <x v="3"/>
    </i>
    <i r="1">
      <x v="8"/>
    </i>
    <i r="1">
      <x v="11"/>
    </i>
    <i r="1">
      <x v="12"/>
    </i>
    <i>
      <x v="3"/>
    </i>
    <i r="1">
      <x/>
    </i>
    <i r="1">
      <x v="7"/>
    </i>
    <i>
      <x v="4"/>
    </i>
    <i r="1">
      <x v="1"/>
    </i>
    <i r="1">
      <x v="8"/>
    </i>
    <i r="1">
      <x v="10"/>
    </i>
    <i r="1">
      <x v="13"/>
    </i>
    <i r="1">
      <x v="14"/>
    </i>
    <i t="grand">
      <x/>
    </i>
  </rowItems>
  <colFields count="1">
    <field x="-2"/>
  </colFields>
  <colItems count="7">
    <i>
      <x/>
    </i>
    <i i="1">
      <x v="1"/>
    </i>
    <i i="2">
      <x v="2"/>
    </i>
    <i i="3">
      <x v="3"/>
    </i>
    <i i="4">
      <x v="4"/>
    </i>
    <i i="5">
      <x v="5"/>
    </i>
    <i i="6">
      <x v="6"/>
    </i>
  </colItems>
  <pageFields count="1">
    <pageField fld="3" item="0" hier="-1"/>
  </pageFields>
  <dataFields count="7">
    <dataField name="Soma de FG" fld="13" baseField="0" baseItem="0"/>
    <dataField name="Soma de Brasil " fld="14" baseField="0" baseItem="0"/>
    <dataField name="Soma de OMS " fld="15" baseField="0" baseItem="0"/>
    <dataField name="Soma de Portugal/Saúde para Todos " fld="16" baseField="0" baseItem="0"/>
    <dataField name="Soma de Governo " fld="17" baseField="0" baseItem="0"/>
    <dataField name="Soma de GAP  17" fld="19" baseField="0" baseItem="0"/>
    <dataField name="Soma de Orçamento 2017" fld="11" baseField="0" baseItem="0"/>
  </dataFields>
  <formats count="1">
    <format dxfId="0">
      <pivotArea dataOnly="0" labelOnly="1" outline="0" fieldPosition="0">
        <references count="1">
          <reference field="4294967294" count="1">
            <x v="1"/>
          </reference>
        </references>
      </pivotArea>
    </format>
  </formats>
  <pivotTableStyleInfo name="PivotStyleLight16" showRowHeaders="1" showColHeaders="1" showRowStripes="0" showColStripes="0" showLastColumn="1"/>
</pivotTableDefinition>
</file>

<file path=xl/pivotTables/pivotTable16.xml><?xml version="1.0" encoding="utf-8"?>
<pivotTableDefinition xmlns="http://schemas.openxmlformats.org/spreadsheetml/2006/main" name="Tabela dinâmica3" cacheId="8" applyNumberFormats="0" applyBorderFormats="0" applyFontFormats="0" applyPatternFormats="0" applyAlignmentFormats="0" applyWidthHeightFormats="1" dataCaption="Valores" updatedVersion="3" minRefreshableVersion="3" showCalcMbrs="0" useAutoFormatting="1" itemPrintTitles="1" createdVersion="3" indent="0" outline="1" outlineData="1" multipleFieldFilters="0">
  <location ref="A4:H11" firstHeaderRow="1" firstDataRow="2" firstDataCol="1"/>
  <pivotFields count="20">
    <pivotField showAll="0"/>
    <pivotField showAll="0"/>
    <pivotField showAll="0"/>
    <pivotField showAll="0"/>
    <pivotField axis="axisRow" showAll="0">
      <items count="6">
        <item x="3"/>
        <item x="0"/>
        <item x="2"/>
        <item x="1"/>
        <item x="4"/>
        <item t="default"/>
      </items>
    </pivotField>
    <pivotField showAll="0"/>
    <pivotField showAll="0"/>
    <pivotField showAll="0" defaultSubtotal="0"/>
    <pivotField showAll="0" defaultSubtotal="0"/>
    <pivotField showAll="0"/>
    <pivotField showAll="0"/>
    <pivotField dataField="1" showAll="0"/>
    <pivotField numFmtId="4" showAll="0" defaultSubtotal="0"/>
    <pivotField dataField="1" showAll="0"/>
    <pivotField dataField="1" showAll="0"/>
    <pivotField dataField="1" showAll="0"/>
    <pivotField dataField="1" showAll="0"/>
    <pivotField dataField="1" showAll="0"/>
    <pivotField showAll="0"/>
    <pivotField dataField="1" showAll="0" defaultSubtotal="0"/>
  </pivotFields>
  <rowFields count="1">
    <field x="4"/>
  </rowFields>
  <rowItems count="6">
    <i>
      <x/>
    </i>
    <i>
      <x v="1"/>
    </i>
    <i>
      <x v="2"/>
    </i>
    <i>
      <x v="3"/>
    </i>
    <i>
      <x v="4"/>
    </i>
    <i t="grand">
      <x/>
    </i>
  </rowItems>
  <colFields count="1">
    <field x="-2"/>
  </colFields>
  <colItems count="7">
    <i>
      <x/>
    </i>
    <i i="1">
      <x v="1"/>
    </i>
    <i i="2">
      <x v="2"/>
    </i>
    <i i="3">
      <x v="3"/>
    </i>
    <i i="4">
      <x v="4"/>
    </i>
    <i i="5">
      <x v="5"/>
    </i>
    <i i="6">
      <x v="6"/>
    </i>
  </colItems>
  <dataFields count="7">
    <dataField name="Soma de FG" fld="13" baseField="0" baseItem="0"/>
    <dataField name="Soma de Brasil " fld="14" baseField="0" baseItem="0"/>
    <dataField name="Soma de OMS " fld="15" baseField="0" baseItem="0"/>
    <dataField name="Soma de Portugal/Saúde para Todos " fld="16" baseField="0" baseItem="0"/>
    <dataField name="Soma de Governo " fld="17" baseField="0" baseItem="0"/>
    <dataField name="Soma de GAP  17" fld="19" baseField="0" baseItem="0"/>
    <dataField name="Soma de Orçamento 2017" fld="11" baseField="0" baseItem="0"/>
  </dataFields>
  <formats count="1">
    <format dxfId="1">
      <pivotArea dataOnly="0" labelOnly="1" outline="0" fieldPosition="0">
        <references count="1">
          <reference field="4294967294" count="6">
            <x v="1"/>
            <x v="2"/>
            <x v="3"/>
            <x v="4"/>
            <x v="5"/>
            <x v="6"/>
          </reference>
        </references>
      </pivotArea>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ela dinâmica1" cacheId="9" applyNumberFormats="0" applyBorderFormats="0" applyFontFormats="0" applyPatternFormats="0" applyAlignmentFormats="0" applyWidthHeightFormats="1" dataCaption="Valores" updatedVersion="3" minRefreshableVersion="3" showCalcMbrs="0" useAutoFormatting="1" itemPrintTitles="1" createdVersion="3" indent="0" outline="1" outlineData="1" multipleFieldFilters="0">
  <location ref="A4:D19" firstHeaderRow="1" firstDataRow="2" firstDataCol="1" rowPageCount="1" colPageCount="1"/>
  <pivotFields count="22">
    <pivotField showAll="0"/>
    <pivotField showAll="0"/>
    <pivotField showAll="0"/>
    <pivotField showAll="0"/>
    <pivotField axis="axisRow" showAll="0">
      <items count="7">
        <item x="4"/>
        <item x="0"/>
        <item x="2"/>
        <item x="3"/>
        <item x="1"/>
        <item h="1" x="5"/>
        <item t="default"/>
      </items>
    </pivotField>
    <pivotField showAll="0"/>
    <pivotField axis="axisRow" showAll="0">
      <items count="17">
        <item x="1"/>
        <item x="12"/>
        <item x="10"/>
        <item x="7"/>
        <item x="0"/>
        <item x="3"/>
        <item x="9"/>
        <item x="5"/>
        <item x="8"/>
        <item x="2"/>
        <item x="14"/>
        <item x="4"/>
        <item x="6"/>
        <item x="13"/>
        <item x="11"/>
        <item x="15"/>
        <item t="default"/>
      </items>
    </pivotField>
    <pivotField showAll="0" defaultSubtotal="0"/>
    <pivotField showAll="0" defaultSubtotal="0"/>
    <pivotField showAll="0" defaultSubtotal="0"/>
    <pivotField axis="axisPage" showAll="0" defaultSubtotal="0">
      <items count="11">
        <item x="3"/>
        <item x="0"/>
        <item x="5"/>
        <item x="4"/>
        <item x="7"/>
        <item x="1"/>
        <item x="6"/>
        <item x="8"/>
        <item x="9"/>
        <item x="10"/>
        <item x="2"/>
      </items>
    </pivotField>
    <pivotField showAll="0" defaultSubtotal="0"/>
    <pivotField dataField="1" showAll="0"/>
    <pivotField dataField="1" showAll="0"/>
    <pivotField dataField="1" showAll="0"/>
    <pivotField showAll="0"/>
    <pivotField showAll="0"/>
    <pivotField showAll="0"/>
    <pivotField showAll="0"/>
    <pivotField showAll="0"/>
    <pivotField showAll="0"/>
    <pivotField showAll="0"/>
  </pivotFields>
  <rowFields count="2">
    <field x="4"/>
    <field x="6"/>
  </rowFields>
  <rowItems count="14">
    <i>
      <x v="1"/>
    </i>
    <i r="1">
      <x v="4"/>
    </i>
    <i r="1">
      <x v="5"/>
    </i>
    <i r="1">
      <x v="9"/>
    </i>
    <i>
      <x v="2"/>
    </i>
    <i r="1">
      <x v="3"/>
    </i>
    <i r="1">
      <x v="9"/>
    </i>
    <i>
      <x v="3"/>
    </i>
    <i r="1">
      <x v="14"/>
    </i>
    <i>
      <x v="4"/>
    </i>
    <i r="1">
      <x v="1"/>
    </i>
    <i r="1">
      <x v="8"/>
    </i>
    <i r="1">
      <x v="14"/>
    </i>
    <i t="grand">
      <x/>
    </i>
  </rowItems>
  <colFields count="1">
    <field x="-2"/>
  </colFields>
  <colItems count="3">
    <i>
      <x/>
    </i>
    <i i="1">
      <x v="1"/>
    </i>
    <i i="2">
      <x v="2"/>
    </i>
  </colItems>
  <pageFields count="1">
    <pageField fld="10" item="3" hier="-1"/>
  </pageFields>
  <dataFields count="3">
    <dataField name="Soma de Orçamento 2015" fld="12" baseField="0" baseItem="0"/>
    <dataField name="Soma de Orçamento 2016" fld="13" baseField="0" baseItem="0"/>
    <dataField name="Soma de Orçamento 2017" fld="14" baseField="0" baseItem="0"/>
  </dataFields>
  <formats count="1">
    <format dxfId="8">
      <pivotArea collapsedLevelsAreSubtotals="1" fieldPosition="0">
        <references count="3">
          <reference field="4294967294" count="1" selected="0">
            <x v="0"/>
          </reference>
          <reference field="4" count="1" selected="0">
            <x v="3"/>
          </reference>
          <reference field="6" count="1">
            <x v="5"/>
          </reference>
        </references>
      </pivotArea>
    </format>
  </format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ela dinâmica1" cacheId="9" applyNumberFormats="0" applyBorderFormats="0" applyFontFormats="0" applyPatternFormats="0" applyAlignmentFormats="0" applyWidthHeightFormats="1" dataCaption="Valores" updatedVersion="3" minRefreshableVersion="3" showCalcMbrs="0" useAutoFormatting="1" itemPrintTitles="1" createdVersion="3" indent="0" outline="1" outlineData="1" multipleFieldFilters="0">
  <location ref="A4:D36" firstHeaderRow="1" firstDataRow="2" firstDataCol="1"/>
  <pivotFields count="22">
    <pivotField showAll="0"/>
    <pivotField showAll="0"/>
    <pivotField showAll="0"/>
    <pivotField showAll="0"/>
    <pivotField axis="axisRow" showAll="0">
      <items count="7">
        <item x="4"/>
        <item x="0"/>
        <item x="2"/>
        <item x="3"/>
        <item x="1"/>
        <item h="1" x="5"/>
        <item t="default"/>
      </items>
    </pivotField>
    <pivotField showAll="0"/>
    <pivotField axis="axisRow" showAll="0">
      <items count="17">
        <item x="1"/>
        <item x="12"/>
        <item x="10"/>
        <item x="7"/>
        <item x="0"/>
        <item x="3"/>
        <item x="9"/>
        <item x="5"/>
        <item x="8"/>
        <item x="2"/>
        <item x="14"/>
        <item x="4"/>
        <item x="6"/>
        <item x="13"/>
        <item x="11"/>
        <item x="15"/>
        <item t="default"/>
      </items>
    </pivotField>
    <pivotField showAll="0" defaultSubtotal="0"/>
    <pivotField showAll="0" defaultSubtotal="0"/>
    <pivotField showAll="0" defaultSubtotal="0"/>
    <pivotField showAll="0" defaultSubtotal="0"/>
    <pivotField showAll="0" defaultSubtotal="0"/>
    <pivotField dataField="1" showAll="0"/>
    <pivotField dataField="1" showAll="0"/>
    <pivotField dataField="1" showAll="0"/>
    <pivotField showAll="0"/>
    <pivotField showAll="0"/>
    <pivotField showAll="0"/>
    <pivotField showAll="0"/>
    <pivotField showAll="0"/>
    <pivotField showAll="0"/>
    <pivotField showAll="0"/>
  </pivotFields>
  <rowFields count="2">
    <field x="4"/>
    <field x="6"/>
  </rowFields>
  <rowItems count="31">
    <i>
      <x/>
    </i>
    <i r="1">
      <x v="2"/>
    </i>
    <i r="1">
      <x v="6"/>
    </i>
    <i>
      <x v="1"/>
    </i>
    <i r="1">
      <x v="4"/>
    </i>
    <i r="1">
      <x v="5"/>
    </i>
    <i r="1">
      <x v="9"/>
    </i>
    <i>
      <x v="2"/>
    </i>
    <i r="1">
      <x v="3"/>
    </i>
    <i r="1">
      <x v="4"/>
    </i>
    <i r="1">
      <x v="5"/>
    </i>
    <i r="1">
      <x v="8"/>
    </i>
    <i r="1">
      <x v="9"/>
    </i>
    <i r="1">
      <x v="11"/>
    </i>
    <i r="1">
      <x v="12"/>
    </i>
    <i>
      <x v="3"/>
    </i>
    <i r="1">
      <x/>
    </i>
    <i r="1">
      <x v="3"/>
    </i>
    <i r="1">
      <x v="4"/>
    </i>
    <i r="1">
      <x v="5"/>
    </i>
    <i r="1">
      <x v="7"/>
    </i>
    <i r="1">
      <x v="10"/>
    </i>
    <i r="1">
      <x v="14"/>
    </i>
    <i>
      <x v="4"/>
    </i>
    <i r="1">
      <x v="1"/>
    </i>
    <i r="1">
      <x v="4"/>
    </i>
    <i r="1">
      <x v="8"/>
    </i>
    <i r="1">
      <x v="10"/>
    </i>
    <i r="1">
      <x v="13"/>
    </i>
    <i r="1">
      <x v="14"/>
    </i>
    <i t="grand">
      <x/>
    </i>
  </rowItems>
  <colFields count="1">
    <field x="-2"/>
  </colFields>
  <colItems count="3">
    <i>
      <x/>
    </i>
    <i i="1">
      <x v="1"/>
    </i>
    <i i="2">
      <x v="2"/>
    </i>
  </colItems>
  <dataFields count="3">
    <dataField name="Soma de Orçamento 2015" fld="12" baseField="0" baseItem="0"/>
    <dataField name="Soma de Orçamento 2016" fld="13" baseField="0" baseItem="0"/>
    <dataField name="Soma de Orçamento 2017" fld="14" baseField="0" baseItem="0"/>
  </dataFields>
  <formats count="1">
    <format dxfId="7">
      <pivotArea collapsedLevelsAreSubtotals="1" fieldPosition="0">
        <references count="3">
          <reference field="4294967294" count="1" selected="0">
            <x v="0"/>
          </reference>
          <reference field="4" count="1" selected="0">
            <x v="3"/>
          </reference>
          <reference field="6" count="1">
            <x v="5"/>
          </reference>
        </references>
      </pivotArea>
    </format>
  </format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ela dinâmica3" cacheId="11" applyNumberFormats="0" applyBorderFormats="0" applyFontFormats="0" applyPatternFormats="0" applyAlignmentFormats="0" applyWidthHeightFormats="1" dataCaption="Valores" updatedVersion="3" minRefreshableVersion="3" showCalcMbrs="0" useAutoFormatting="1" itemPrintTitles="1" createdVersion="3" indent="0" outline="1" outlineData="1" multipleFieldFilters="0">
  <location ref="A4:G11" firstHeaderRow="1" firstDataRow="2" firstDataCol="1"/>
  <pivotFields count="22">
    <pivotField showAll="0"/>
    <pivotField showAll="0"/>
    <pivotField showAll="0"/>
    <pivotField showAll="0"/>
    <pivotField axis="axisRow" showAll="0">
      <items count="6">
        <item x="3"/>
        <item x="0"/>
        <item x="2"/>
        <item x="1"/>
        <item x="4"/>
        <item t="default"/>
      </items>
    </pivotField>
    <pivotField showAll="0"/>
    <pivotField showAll="0"/>
    <pivotField showAll="0" defaultSubtotal="0"/>
    <pivotField showAll="0" defaultSubtotal="0"/>
    <pivotField showAll="0"/>
    <pivotField showAll="0"/>
    <pivotField showAll="0"/>
    <pivotField showAll="0"/>
    <pivotField showAll="0"/>
    <pivotField numFmtId="4" showAll="0"/>
    <pivotField dataField="1" showAll="0"/>
    <pivotField dataField="1" showAll="0"/>
    <pivotField dataField="1" showAll="0"/>
    <pivotField dataField="1" showAll="0"/>
    <pivotField dataField="1" showAll="0"/>
    <pivotField showAll="0"/>
    <pivotField dataField="1" showAll="0"/>
  </pivotFields>
  <rowFields count="1">
    <field x="4"/>
  </rowFields>
  <rowItems count="6">
    <i>
      <x/>
    </i>
    <i>
      <x v="1"/>
    </i>
    <i>
      <x v="2"/>
    </i>
    <i>
      <x v="3"/>
    </i>
    <i>
      <x v="4"/>
    </i>
    <i t="grand">
      <x/>
    </i>
  </rowItems>
  <colFields count="1">
    <field x="-2"/>
  </colFields>
  <colItems count="6">
    <i>
      <x/>
    </i>
    <i i="1">
      <x v="1"/>
    </i>
    <i i="2">
      <x v="2"/>
    </i>
    <i i="3">
      <x v="3"/>
    </i>
    <i i="4">
      <x v="4"/>
    </i>
    <i i="5">
      <x v="5"/>
    </i>
  </colItems>
  <dataFields count="6">
    <dataField name="Soma de FG" fld="15" baseField="0" baseItem="0"/>
    <dataField name="Soma de Brasil " fld="16" baseField="0" baseItem="0"/>
    <dataField name="Soma de OMS " fld="17" baseField="0" baseItem="0"/>
    <dataField name="Soma de Portugal/Saúde para Todos " fld="18" baseField="0" baseItem="0"/>
    <dataField name="Soma de Governo " fld="19" baseField="0" baseItem="0"/>
    <dataField name="Soma de GAP  2013-2017" fld="21" baseField="0" baseItem="0"/>
  </dataField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ela dinâmica8" cacheId="10" applyNumberFormats="0" applyBorderFormats="0" applyFontFormats="0" applyPatternFormats="0" applyAlignmentFormats="0" applyWidthHeightFormats="1" dataCaption="Valores" updatedVersion="3" minRefreshableVersion="3" showCalcMbrs="0" useAutoFormatting="1" itemPrintTitles="1" createdVersion="3" indent="0" outline="1" outlineData="1" multipleFieldFilters="0">
  <location ref="D10:E38" firstHeaderRow="1" firstDataRow="1" firstDataCol="1" rowPageCount="1" colPageCount="1"/>
  <pivotFields count="23">
    <pivotField showAll="0"/>
    <pivotField showAll="0"/>
    <pivotField showAll="0"/>
    <pivotField axis="axisPage" showAll="0">
      <items count="4">
        <item x="1"/>
        <item x="0"/>
        <item x="2"/>
        <item t="default"/>
      </items>
    </pivotField>
    <pivotField axis="axisRow" showAll="0">
      <items count="6">
        <item x="4"/>
        <item x="0"/>
        <item x="2"/>
        <item x="3"/>
        <item x="1"/>
        <item t="default"/>
      </items>
    </pivotField>
    <pivotField showAll="0"/>
    <pivotField axis="axisRow" showAll="0">
      <items count="16">
        <item x="1"/>
        <item x="12"/>
        <item x="10"/>
        <item x="7"/>
        <item x="0"/>
        <item x="3"/>
        <item x="9"/>
        <item x="5"/>
        <item x="8"/>
        <item x="2"/>
        <item x="14"/>
        <item x="4"/>
        <item x="6"/>
        <item x="13"/>
        <item x="11"/>
        <item t="default"/>
      </items>
    </pivotField>
    <pivotField showAll="0" defaultSubtotal="0"/>
    <pivotField showAll="0" defaultSubtotal="0"/>
    <pivotField showAll="0" defaultSubtotal="0"/>
    <pivotField showAll="0" defaultSubtotal="0"/>
    <pivotField showAll="0" defaultSubtotal="0"/>
    <pivotField showAll="0"/>
    <pivotField showAll="0"/>
    <pivotField showAll="0"/>
    <pivotField showAll="0"/>
    <pivotField dataField="1" showAll="0"/>
    <pivotField showAll="0"/>
    <pivotField showAll="0"/>
    <pivotField showAll="0"/>
    <pivotField showAll="0"/>
    <pivotField showAll="0"/>
    <pivotField showAll="0" defaultSubtotal="0"/>
  </pivotFields>
  <rowFields count="2">
    <field x="4"/>
    <field x="6"/>
  </rowFields>
  <rowItems count="28">
    <i>
      <x/>
    </i>
    <i r="1">
      <x v="2"/>
    </i>
    <i r="1">
      <x v="6"/>
    </i>
    <i>
      <x v="1"/>
    </i>
    <i r="1">
      <x v="4"/>
    </i>
    <i r="1">
      <x v="5"/>
    </i>
    <i>
      <x v="2"/>
    </i>
    <i r="1">
      <x v="3"/>
    </i>
    <i r="1">
      <x v="4"/>
    </i>
    <i r="1">
      <x v="5"/>
    </i>
    <i r="1">
      <x v="8"/>
    </i>
    <i r="1">
      <x v="9"/>
    </i>
    <i r="1">
      <x v="11"/>
    </i>
    <i r="1">
      <x v="12"/>
    </i>
    <i>
      <x v="3"/>
    </i>
    <i r="1">
      <x/>
    </i>
    <i r="1">
      <x v="3"/>
    </i>
    <i r="1">
      <x v="4"/>
    </i>
    <i r="1">
      <x v="5"/>
    </i>
    <i r="1">
      <x v="7"/>
    </i>
    <i r="1">
      <x v="14"/>
    </i>
    <i>
      <x v="4"/>
    </i>
    <i r="1">
      <x v="1"/>
    </i>
    <i r="1">
      <x v="8"/>
    </i>
    <i r="1">
      <x v="10"/>
    </i>
    <i r="1">
      <x v="13"/>
    </i>
    <i r="1">
      <x v="14"/>
    </i>
    <i t="grand">
      <x/>
    </i>
  </rowItems>
  <colItems count="1">
    <i/>
  </colItems>
  <pageFields count="1">
    <pageField fld="3" item="0" hier="-1"/>
  </pageFields>
  <dataFields count="1">
    <dataField name="Soma de FG" fld="16" baseField="0" baseItem="0"/>
  </dataFields>
  <pivotTableStyleInfo name="PivotStyleLight16" showRowHeaders="1" showColHeaders="1" showRowStripes="0" showColStripes="0" showLastColumn="1"/>
</pivotTableDefinition>
</file>

<file path=xl/pivotTables/pivotTable6.xml><?xml version="1.0" encoding="utf-8"?>
<pivotTableDefinition xmlns="http://schemas.openxmlformats.org/spreadsheetml/2006/main" name="Tabela dinâmica7" cacheId="9" applyNumberFormats="0" applyBorderFormats="0" applyFontFormats="0" applyPatternFormats="0" applyAlignmentFormats="0" applyWidthHeightFormats="1" dataCaption="Valores" updatedVersion="3" minRefreshableVersion="3" showCalcMbrs="0" useAutoFormatting="1" itemPrintTitles="1" createdVersion="3" indent="0" outline="1" outlineData="1" multipleFieldFilters="0">
  <location ref="A2:B6" firstHeaderRow="1" firstDataRow="1" firstDataCol="1"/>
  <pivotFields count="22">
    <pivotField showAll="0"/>
    <pivotField showAll="0"/>
    <pivotField showAll="0"/>
    <pivotField axis="axisRow" showAll="0">
      <items count="5">
        <item x="1"/>
        <item x="0"/>
        <item x="2"/>
        <item h="1" x="3"/>
        <item t="default"/>
      </items>
    </pivotField>
    <pivotField showAll="0"/>
    <pivotField showAll="0"/>
    <pivotField showAll="0"/>
    <pivotField showAll="0" defaultSubtotal="0"/>
    <pivotField showAll="0" defaultSubtotal="0"/>
    <pivotField showAll="0" defaultSubtotal="0"/>
    <pivotField showAll="0" defaultSubtotal="0"/>
    <pivotField showAll="0" defaultSubtotal="0"/>
    <pivotField showAll="0"/>
    <pivotField showAll="0"/>
    <pivotField showAll="0"/>
    <pivotField showAll="0"/>
    <pivotField dataField="1" showAll="0"/>
    <pivotField showAll="0"/>
    <pivotField showAll="0"/>
    <pivotField showAll="0"/>
    <pivotField showAll="0"/>
    <pivotField showAll="0"/>
  </pivotFields>
  <rowFields count="1">
    <field x="3"/>
  </rowFields>
  <rowItems count="4">
    <i>
      <x/>
    </i>
    <i>
      <x v="1"/>
    </i>
    <i>
      <x v="2"/>
    </i>
    <i t="grand">
      <x/>
    </i>
  </rowItems>
  <colItems count="1">
    <i/>
  </colItems>
  <dataFields count="1">
    <dataField name="Soma de FG" fld="16" baseField="0" baseItem="0"/>
  </dataFields>
  <pivotTableStyleInfo name="PivotStyleMedium2" showRowHeaders="1" showColHeaders="1" showRowStripes="0" showColStripes="0" showLastColumn="1"/>
</pivotTableDefinition>
</file>

<file path=xl/pivotTables/pivotTable7.xml><?xml version="1.0" encoding="utf-8"?>
<pivotTableDefinition xmlns="http://schemas.openxmlformats.org/spreadsheetml/2006/main" name="Tabela dinâmica6" cacheId="9" applyNumberFormats="0" applyBorderFormats="0" applyFontFormats="0" applyPatternFormats="0" applyAlignmentFormats="0" applyWidthHeightFormats="1" dataCaption="Valores" updatedVersion="3" minRefreshableVersion="3" showCalcMbrs="0" useAutoFormatting="1" itemPrintTitles="1" createdVersion="3" indent="0" outline="1" outlineData="1" multipleFieldFilters="0">
  <location ref="A10:B41" firstHeaderRow="1" firstDataRow="1" firstDataCol="1"/>
  <pivotFields count="22">
    <pivotField showAll="0"/>
    <pivotField showAll="0"/>
    <pivotField showAll="0"/>
    <pivotField showAll="0"/>
    <pivotField axis="axisRow" showAll="0">
      <items count="7">
        <item x="4"/>
        <item x="0"/>
        <item x="2"/>
        <item x="3"/>
        <item x="1"/>
        <item h="1" x="5"/>
        <item t="default"/>
      </items>
    </pivotField>
    <pivotField showAll="0"/>
    <pivotField axis="axisRow" showAll="0">
      <items count="17">
        <item x="1"/>
        <item x="12"/>
        <item x="10"/>
        <item x="7"/>
        <item x="0"/>
        <item x="3"/>
        <item x="9"/>
        <item x="5"/>
        <item x="8"/>
        <item x="2"/>
        <item x="14"/>
        <item x="4"/>
        <item x="6"/>
        <item x="13"/>
        <item x="11"/>
        <item x="15"/>
        <item t="default"/>
      </items>
    </pivotField>
    <pivotField showAll="0" defaultSubtotal="0"/>
    <pivotField showAll="0" defaultSubtotal="0"/>
    <pivotField showAll="0" defaultSubtotal="0"/>
    <pivotField showAll="0" defaultSubtotal="0"/>
    <pivotField showAll="0" defaultSubtotal="0"/>
    <pivotField showAll="0"/>
    <pivotField showAll="0"/>
    <pivotField showAll="0"/>
    <pivotField showAll="0"/>
    <pivotField dataField="1" showAll="0"/>
    <pivotField showAll="0"/>
    <pivotField showAll="0"/>
    <pivotField showAll="0"/>
    <pivotField showAll="0"/>
    <pivotField showAll="0"/>
  </pivotFields>
  <rowFields count="2">
    <field x="4"/>
    <field x="6"/>
  </rowFields>
  <rowItems count="31">
    <i>
      <x/>
    </i>
    <i r="1">
      <x v="2"/>
    </i>
    <i r="1">
      <x v="6"/>
    </i>
    <i>
      <x v="1"/>
    </i>
    <i r="1">
      <x v="4"/>
    </i>
    <i r="1">
      <x v="5"/>
    </i>
    <i r="1">
      <x v="9"/>
    </i>
    <i>
      <x v="2"/>
    </i>
    <i r="1">
      <x v="3"/>
    </i>
    <i r="1">
      <x v="4"/>
    </i>
    <i r="1">
      <x v="5"/>
    </i>
    <i r="1">
      <x v="8"/>
    </i>
    <i r="1">
      <x v="9"/>
    </i>
    <i r="1">
      <x v="11"/>
    </i>
    <i r="1">
      <x v="12"/>
    </i>
    <i>
      <x v="3"/>
    </i>
    <i r="1">
      <x/>
    </i>
    <i r="1">
      <x v="3"/>
    </i>
    <i r="1">
      <x v="4"/>
    </i>
    <i r="1">
      <x v="5"/>
    </i>
    <i r="1">
      <x v="7"/>
    </i>
    <i r="1">
      <x v="10"/>
    </i>
    <i r="1">
      <x v="14"/>
    </i>
    <i>
      <x v="4"/>
    </i>
    <i r="1">
      <x v="1"/>
    </i>
    <i r="1">
      <x v="4"/>
    </i>
    <i r="1">
      <x v="8"/>
    </i>
    <i r="1">
      <x v="10"/>
    </i>
    <i r="1">
      <x v="13"/>
    </i>
    <i r="1">
      <x v="14"/>
    </i>
    <i t="grand">
      <x/>
    </i>
  </rowItems>
  <colItems count="1">
    <i/>
  </colItems>
  <dataFields count="1">
    <dataField name="Soma de FG" fld="16" baseField="0" baseItem="0"/>
  </dataFields>
  <pivotTableStyleInfo name="PivotStyleLight16" showRowHeaders="1" showColHeaders="1" showRowStripes="0" showColStripes="0" showLastColumn="1"/>
</pivotTableDefinition>
</file>

<file path=xl/pivotTables/pivotTable8.xml><?xml version="1.0" encoding="utf-8"?>
<pivotTableDefinition xmlns="http://schemas.openxmlformats.org/spreadsheetml/2006/main" name="Tabela dinâmica6" cacheId="9" applyNumberFormats="0" applyBorderFormats="0" applyFontFormats="0" applyPatternFormats="0" applyAlignmentFormats="0" applyWidthHeightFormats="1" dataCaption="Valores" updatedVersion="3" minRefreshableVersion="3" showCalcMbrs="0" useAutoFormatting="1" itemPrintTitles="1" createdVersion="3" indent="0" outline="1" outlineData="1" multipleFieldFilters="0">
  <location ref="A10:B24" firstHeaderRow="1" firstDataRow="1" firstDataCol="1" rowPageCount="1" colPageCount="1"/>
  <pivotFields count="22">
    <pivotField showAll="0"/>
    <pivotField showAll="0"/>
    <pivotField showAll="0"/>
    <pivotField showAll="0"/>
    <pivotField axis="axisRow" showAll="0">
      <items count="7">
        <item x="4"/>
        <item x="0"/>
        <item x="2"/>
        <item x="3"/>
        <item x="1"/>
        <item h="1" x="5"/>
        <item t="default"/>
      </items>
    </pivotField>
    <pivotField showAll="0"/>
    <pivotField axis="axisRow" showAll="0">
      <items count="17">
        <item x="1"/>
        <item x="12"/>
        <item x="10"/>
        <item x="7"/>
        <item x="0"/>
        <item x="3"/>
        <item x="9"/>
        <item x="5"/>
        <item x="8"/>
        <item x="2"/>
        <item x="14"/>
        <item x="4"/>
        <item x="6"/>
        <item x="13"/>
        <item x="11"/>
        <item x="15"/>
        <item t="default"/>
      </items>
    </pivotField>
    <pivotField showAll="0" defaultSubtotal="0"/>
    <pivotField showAll="0" defaultSubtotal="0"/>
    <pivotField showAll="0" defaultSubtotal="0"/>
    <pivotField axis="axisPage" showAll="0" defaultSubtotal="0">
      <items count="11">
        <item x="3"/>
        <item x="0"/>
        <item x="5"/>
        <item x="4"/>
        <item x="7"/>
        <item x="1"/>
        <item x="6"/>
        <item x="8"/>
        <item x="9"/>
        <item x="10"/>
        <item x="2"/>
      </items>
    </pivotField>
    <pivotField showAll="0" defaultSubtotal="0"/>
    <pivotField showAll="0"/>
    <pivotField showAll="0"/>
    <pivotField showAll="0"/>
    <pivotField showAll="0"/>
    <pivotField dataField="1" showAll="0"/>
    <pivotField showAll="0"/>
    <pivotField showAll="0"/>
    <pivotField showAll="0"/>
    <pivotField showAll="0"/>
    <pivotField showAll="0"/>
  </pivotFields>
  <rowFields count="2">
    <field x="4"/>
    <field x="6"/>
  </rowFields>
  <rowItems count="14">
    <i>
      <x v="1"/>
    </i>
    <i r="1">
      <x v="4"/>
    </i>
    <i r="1">
      <x v="5"/>
    </i>
    <i r="1">
      <x v="9"/>
    </i>
    <i>
      <x v="2"/>
    </i>
    <i r="1">
      <x v="3"/>
    </i>
    <i r="1">
      <x v="9"/>
    </i>
    <i>
      <x v="3"/>
    </i>
    <i r="1">
      <x v="14"/>
    </i>
    <i>
      <x v="4"/>
    </i>
    <i r="1">
      <x v="1"/>
    </i>
    <i r="1">
      <x v="8"/>
    </i>
    <i r="1">
      <x v="14"/>
    </i>
    <i t="grand">
      <x/>
    </i>
  </rowItems>
  <colItems count="1">
    <i/>
  </colItems>
  <pageFields count="1">
    <pageField fld="10" item="3" hier="-1"/>
  </pageFields>
  <dataFields count="1">
    <dataField name="Soma de FG" fld="16" baseField="0" baseItem="0"/>
  </dataFields>
  <pivotTableStyleInfo name="PivotStyleLight16" showRowHeaders="1" showColHeaders="1" showRowStripes="0" showColStripes="0" showLastColumn="1"/>
</pivotTableDefinition>
</file>

<file path=xl/pivotTables/pivotTable9.xml><?xml version="1.0" encoding="utf-8"?>
<pivotTableDefinition xmlns="http://schemas.openxmlformats.org/spreadsheetml/2006/main" name="Tabela dinâmica7" cacheId="9" applyNumberFormats="0" applyBorderFormats="0" applyFontFormats="0" applyPatternFormats="0" applyAlignmentFormats="0" applyWidthHeightFormats="1" dataCaption="Valores" updatedVersion="3" minRefreshableVersion="3" showCalcMbrs="0" useAutoFormatting="1" itemPrintTitles="1" createdVersion="3" indent="0" outline="1" outlineData="1" multipleFieldFilters="0">
  <location ref="A2:B6" firstHeaderRow="1" firstDataRow="1" firstDataCol="1"/>
  <pivotFields count="22">
    <pivotField showAll="0"/>
    <pivotField showAll="0"/>
    <pivotField showAll="0"/>
    <pivotField axis="axisRow" showAll="0">
      <items count="5">
        <item x="1"/>
        <item x="0"/>
        <item x="2"/>
        <item h="1" x="3"/>
        <item t="default"/>
      </items>
    </pivotField>
    <pivotField showAll="0"/>
    <pivotField showAll="0"/>
    <pivotField showAll="0"/>
    <pivotField showAll="0" defaultSubtotal="0"/>
    <pivotField showAll="0" defaultSubtotal="0"/>
    <pivotField showAll="0" defaultSubtotal="0"/>
    <pivotField showAll="0" defaultSubtotal="0"/>
    <pivotField showAll="0" defaultSubtotal="0"/>
    <pivotField showAll="0"/>
    <pivotField showAll="0"/>
    <pivotField showAll="0"/>
    <pivotField showAll="0"/>
    <pivotField dataField="1" showAll="0"/>
    <pivotField showAll="0"/>
    <pivotField showAll="0"/>
    <pivotField showAll="0"/>
    <pivotField showAll="0"/>
    <pivotField showAll="0"/>
  </pivotFields>
  <rowFields count="1">
    <field x="3"/>
  </rowFields>
  <rowItems count="4">
    <i>
      <x/>
    </i>
    <i>
      <x v="1"/>
    </i>
    <i>
      <x v="2"/>
    </i>
    <i t="grand">
      <x/>
    </i>
  </rowItems>
  <colItems count="1">
    <i/>
  </colItems>
  <dataFields count="1">
    <dataField name="Soma de FG" fld="16" baseField="0" baseItem="0"/>
  </dataFields>
  <pivotTableStyleInfo name="PivotStyleMedium2" showRowHeaders="1" showColHeaders="1" showRowStripes="0" showColStripes="0" showLastColumn="1"/>
</pivotTableDefinition>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12.xml.rels><?xml version="1.0" encoding="UTF-8" standalone="yes"?>
<Relationships xmlns="http://schemas.openxmlformats.org/package/2006/relationships"><Relationship Id="rId3" Type="http://schemas.openxmlformats.org/officeDocument/2006/relationships/pivotTable" Target="../pivotTables/pivotTable7.xml"/><Relationship Id="rId2" Type="http://schemas.openxmlformats.org/officeDocument/2006/relationships/pivotTable" Target="../pivotTables/pivotTable6.xml"/><Relationship Id="rId1" Type="http://schemas.openxmlformats.org/officeDocument/2006/relationships/pivotTable" Target="../pivotTables/pivotTable5.xml"/></Relationships>
</file>

<file path=xl/worksheets/_rels/sheet13.xml.rels><?xml version="1.0" encoding="UTF-8" standalone="yes"?>
<Relationships xmlns="http://schemas.openxmlformats.org/package/2006/relationships"><Relationship Id="rId3" Type="http://schemas.openxmlformats.org/officeDocument/2006/relationships/pivotTable" Target="../pivotTables/pivotTable10.xml"/><Relationship Id="rId2" Type="http://schemas.openxmlformats.org/officeDocument/2006/relationships/pivotTable" Target="../pivotTables/pivotTable9.xml"/><Relationship Id="rId1" Type="http://schemas.openxmlformats.org/officeDocument/2006/relationships/pivotTable" Target="../pivotTables/pivotTable8.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ivotTable" Target="../pivotTables/pivotTable12.xml"/><Relationship Id="rId1" Type="http://schemas.openxmlformats.org/officeDocument/2006/relationships/pivotTable" Target="../pivotTables/pivotTable11.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ivotTable" Target="../pivotTables/pivotTable14.xml"/><Relationship Id="rId1" Type="http://schemas.openxmlformats.org/officeDocument/2006/relationships/pivotTable" Target="../pivotTables/pivotTable13.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ivotTable" Target="../pivotTables/pivotTable16.xml"/><Relationship Id="rId1" Type="http://schemas.openxmlformats.org/officeDocument/2006/relationships/pivotTable" Target="../pivotTables/pivotTable15.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sheetPr filterMode="1">
    <tabColor theme="3" tint="-0.249977111117893"/>
  </sheetPr>
  <dimension ref="A1:U166"/>
  <sheetViews>
    <sheetView zoomScaleNormal="100" workbookViewId="0">
      <pane ySplit="5" topLeftCell="A153" activePane="bottomLeft" state="frozenSplit"/>
      <selection pane="bottomLeft" activeCell="B117" sqref="B117:N159"/>
    </sheetView>
  </sheetViews>
  <sheetFormatPr defaultRowHeight="15"/>
  <cols>
    <col min="1" max="1" width="4.5703125" style="2" customWidth="1"/>
    <col min="2" max="2" width="6.5703125" style="2" customWidth="1"/>
    <col min="3" max="3" width="30.28515625" style="2" customWidth="1"/>
    <col min="4" max="4" width="3" style="2" customWidth="1"/>
    <col min="5" max="5" width="12.140625" style="2" customWidth="1"/>
    <col min="6" max="6" width="3" style="2" customWidth="1"/>
    <col min="7" max="9" width="12.85546875" style="2" customWidth="1"/>
    <col min="10" max="10" width="11" style="4" customWidth="1"/>
    <col min="11" max="11" width="11" style="3" customWidth="1"/>
    <col min="12" max="12" width="10.28515625" style="3" customWidth="1"/>
    <col min="13" max="14" width="11" style="2" customWidth="1"/>
    <col min="15" max="15" width="11.5703125" style="2" bestFit="1" customWidth="1"/>
    <col min="16" max="17" width="11.28515625" style="2" customWidth="1"/>
    <col min="18" max="18" width="11.28515625" style="2" hidden="1" customWidth="1"/>
    <col min="19" max="19" width="5.5703125" style="2" hidden="1" customWidth="1"/>
    <col min="20" max="20" width="9.28515625" style="2" hidden="1" customWidth="1"/>
    <col min="21" max="16384" width="9.140625" style="2"/>
  </cols>
  <sheetData>
    <row r="1" spans="1:20" ht="19.5">
      <c r="C1" s="84" t="s">
        <v>873</v>
      </c>
    </row>
    <row r="2" spans="1:20" ht="6.75" customHeight="1">
      <c r="B2" s="24"/>
    </row>
    <row r="3" spans="1:20" ht="17.25" customHeight="1">
      <c r="J3" s="2"/>
      <c r="K3" s="2"/>
      <c r="L3" s="2"/>
    </row>
    <row r="4" spans="1:20" ht="44.25" customHeight="1">
      <c r="A4" s="82" t="s">
        <v>278</v>
      </c>
      <c r="B4" s="259" t="s">
        <v>276</v>
      </c>
      <c r="C4" s="77" t="s">
        <v>275</v>
      </c>
      <c r="D4" s="75" t="s">
        <v>412</v>
      </c>
      <c r="E4" s="260" t="s">
        <v>274</v>
      </c>
      <c r="F4" s="261" t="s">
        <v>413</v>
      </c>
      <c r="G4" s="260" t="s">
        <v>411</v>
      </c>
      <c r="H4" s="264" t="s">
        <v>267</v>
      </c>
      <c r="I4" s="80" t="s">
        <v>273</v>
      </c>
      <c r="J4" s="77" t="s">
        <v>272</v>
      </c>
      <c r="K4" s="77" t="s">
        <v>271</v>
      </c>
      <c r="L4" s="77" t="s">
        <v>270</v>
      </c>
      <c r="M4" s="77" t="s">
        <v>269</v>
      </c>
      <c r="N4" s="73" t="s">
        <v>268</v>
      </c>
      <c r="O4" s="256" t="s">
        <v>414</v>
      </c>
      <c r="P4" s="244"/>
      <c r="Q4" s="244"/>
      <c r="R4" s="53" t="s">
        <v>388</v>
      </c>
      <c r="S4" s="35" t="s">
        <v>277</v>
      </c>
      <c r="T4" s="80" t="s">
        <v>340</v>
      </c>
    </row>
    <row r="5" spans="1:20" ht="52.5" hidden="1" customHeight="1">
      <c r="A5" s="12">
        <v>1</v>
      </c>
      <c r="B5" s="10" t="s">
        <v>266</v>
      </c>
      <c r="C5" s="14" t="s">
        <v>865</v>
      </c>
      <c r="D5" s="6">
        <v>2</v>
      </c>
      <c r="E5" s="8" t="s">
        <v>144</v>
      </c>
      <c r="F5" s="8">
        <v>1</v>
      </c>
      <c r="G5" s="66" t="s">
        <v>397</v>
      </c>
      <c r="H5" s="5" t="s">
        <v>334</v>
      </c>
      <c r="I5" s="28" t="s">
        <v>184</v>
      </c>
      <c r="J5" s="42">
        <v>0</v>
      </c>
      <c r="K5" s="47">
        <v>0</v>
      </c>
      <c r="L5" s="43">
        <f>'Dados Detalhados'!$L$3</f>
        <v>7778.35</v>
      </c>
      <c r="M5" s="43">
        <v>0</v>
      </c>
      <c r="N5" s="43">
        <v>0</v>
      </c>
      <c r="O5" s="78">
        <f>SUM(J5:N5)</f>
        <v>7778.35</v>
      </c>
      <c r="P5" s="78">
        <v>0</v>
      </c>
      <c r="Q5" s="78">
        <f>+N5-P5</f>
        <v>0</v>
      </c>
      <c r="R5" s="40">
        <v>1</v>
      </c>
      <c r="S5" s="21" t="s">
        <v>0</v>
      </c>
      <c r="T5" s="36" t="s">
        <v>338</v>
      </c>
    </row>
    <row r="6" spans="1:20" ht="52.5" hidden="1" customHeight="1">
      <c r="A6" s="12">
        <v>2</v>
      </c>
      <c r="B6" s="10" t="s">
        <v>264</v>
      </c>
      <c r="C6" s="14" t="s">
        <v>263</v>
      </c>
      <c r="D6" s="6">
        <v>1</v>
      </c>
      <c r="E6" s="8" t="s">
        <v>144</v>
      </c>
      <c r="F6" s="8">
        <v>1</v>
      </c>
      <c r="G6" s="66" t="s">
        <v>397</v>
      </c>
      <c r="H6" s="5" t="s">
        <v>334</v>
      </c>
      <c r="I6" s="28" t="s">
        <v>184</v>
      </c>
      <c r="J6" s="42">
        <f>'Dados Detalhados'!$L$37</f>
        <v>6177.64</v>
      </c>
      <c r="K6" s="42">
        <f>'Dados Detalhados'!$L$37</f>
        <v>6177.64</v>
      </c>
      <c r="L6" s="42">
        <f>'Dados Detalhados'!$L$37</f>
        <v>6177.64</v>
      </c>
      <c r="M6" s="42">
        <f>'Dados Detalhados'!$L$37</f>
        <v>6177.64</v>
      </c>
      <c r="N6" s="42">
        <f>'Dados Detalhados'!$L$37</f>
        <v>6177.64</v>
      </c>
      <c r="O6" s="78">
        <f t="shared" ref="O6:O69" si="0">SUM(J6:N6)</f>
        <v>30888.2</v>
      </c>
      <c r="P6" s="78">
        <v>5177.6400000000012</v>
      </c>
      <c r="Q6" s="78">
        <f t="shared" ref="Q6:Q69" si="1">+N6-P6</f>
        <v>999.99999999999909</v>
      </c>
      <c r="R6" s="40">
        <v>1</v>
      </c>
      <c r="S6" s="21" t="s">
        <v>0</v>
      </c>
      <c r="T6" s="36" t="s">
        <v>336</v>
      </c>
    </row>
    <row r="7" spans="1:20" ht="52.5" hidden="1" customHeight="1">
      <c r="A7" s="12">
        <v>3</v>
      </c>
      <c r="B7" s="10" t="s">
        <v>262</v>
      </c>
      <c r="C7" s="14" t="s">
        <v>261</v>
      </c>
      <c r="D7" s="6">
        <v>3</v>
      </c>
      <c r="E7" s="8" t="s">
        <v>144</v>
      </c>
      <c r="F7" s="8">
        <v>1</v>
      </c>
      <c r="G7" s="66" t="s">
        <v>397</v>
      </c>
      <c r="H7" s="5" t="s">
        <v>334</v>
      </c>
      <c r="I7" s="28" t="s">
        <v>184</v>
      </c>
      <c r="J7" s="42">
        <v>0</v>
      </c>
      <c r="K7" s="47">
        <v>0</v>
      </c>
      <c r="L7" s="43">
        <f>'Dados Detalhados'!$L$66</f>
        <v>3315.83</v>
      </c>
      <c r="M7" s="43">
        <v>0</v>
      </c>
      <c r="N7" s="43">
        <f>'Dados Detalhados'!$L$66</f>
        <v>3315.83</v>
      </c>
      <c r="O7" s="78">
        <f t="shared" si="0"/>
        <v>6631.66</v>
      </c>
      <c r="P7" s="78">
        <v>3315.83</v>
      </c>
      <c r="Q7" s="78">
        <f t="shared" si="1"/>
        <v>0</v>
      </c>
      <c r="R7" s="40">
        <v>1</v>
      </c>
      <c r="S7" s="21" t="s">
        <v>0</v>
      </c>
      <c r="T7" s="36" t="s">
        <v>336</v>
      </c>
    </row>
    <row r="8" spans="1:20" ht="52.5" hidden="1" customHeight="1">
      <c r="A8" s="12">
        <v>4</v>
      </c>
      <c r="B8" s="10" t="s">
        <v>260</v>
      </c>
      <c r="C8" s="14" t="s">
        <v>259</v>
      </c>
      <c r="D8" s="6">
        <v>1</v>
      </c>
      <c r="E8" s="8" t="s">
        <v>144</v>
      </c>
      <c r="F8" s="8">
        <v>1</v>
      </c>
      <c r="G8" s="66" t="s">
        <v>397</v>
      </c>
      <c r="H8" s="5" t="s">
        <v>334</v>
      </c>
      <c r="I8" s="28" t="s">
        <v>184</v>
      </c>
      <c r="J8" s="42">
        <f>'Dados Detalhados'!$L$95</f>
        <v>1905.11</v>
      </c>
      <c r="K8" s="42">
        <f>'Dados Detalhados'!$L$95</f>
        <v>1905.11</v>
      </c>
      <c r="L8" s="42">
        <f>'Dados Detalhados'!$L$95</f>
        <v>1905.11</v>
      </c>
      <c r="M8" s="42">
        <f>'Dados Detalhados'!$L$95</f>
        <v>1905.11</v>
      </c>
      <c r="N8" s="42">
        <f>'Dados Detalhados'!$L$95</f>
        <v>1905.11</v>
      </c>
      <c r="O8" s="78">
        <f t="shared" si="0"/>
        <v>9525.5499999999993</v>
      </c>
      <c r="P8" s="78">
        <v>1905.11</v>
      </c>
      <c r="Q8" s="78">
        <f t="shared" si="1"/>
        <v>0</v>
      </c>
      <c r="R8" s="40">
        <v>1</v>
      </c>
      <c r="S8" s="21" t="s">
        <v>0</v>
      </c>
      <c r="T8" s="36" t="s">
        <v>336</v>
      </c>
    </row>
    <row r="9" spans="1:20" ht="52.5" hidden="1" customHeight="1">
      <c r="A9" s="12">
        <v>5</v>
      </c>
      <c r="B9" s="10" t="s">
        <v>258</v>
      </c>
      <c r="C9" s="14" t="s">
        <v>257</v>
      </c>
      <c r="D9" s="6">
        <v>3</v>
      </c>
      <c r="E9" s="8" t="s">
        <v>144</v>
      </c>
      <c r="F9" s="8">
        <v>5</v>
      </c>
      <c r="G9" s="66" t="s">
        <v>397</v>
      </c>
      <c r="H9" s="5" t="s">
        <v>334</v>
      </c>
      <c r="I9" s="28" t="s">
        <v>184</v>
      </c>
      <c r="J9" s="42">
        <f>'Dados Detalhados'!$L$124</f>
        <v>2951.1100000000006</v>
      </c>
      <c r="K9" s="42">
        <f>'Dados Detalhados'!$L$124</f>
        <v>2951.1100000000006</v>
      </c>
      <c r="L9" s="42">
        <f>'Dados Detalhados'!$L$124</f>
        <v>2951.1100000000006</v>
      </c>
      <c r="M9" s="42">
        <f>'Dados Detalhados'!$L$124</f>
        <v>2951.1100000000006</v>
      </c>
      <c r="N9" s="42">
        <f>'Dados Detalhados'!$L$124</f>
        <v>2951.1100000000006</v>
      </c>
      <c r="O9" s="78">
        <f t="shared" si="0"/>
        <v>14755.550000000003</v>
      </c>
      <c r="P9" s="78">
        <v>2951.1100000000006</v>
      </c>
      <c r="Q9" s="78">
        <f t="shared" si="1"/>
        <v>0</v>
      </c>
      <c r="R9" s="40">
        <v>1</v>
      </c>
      <c r="S9" s="21" t="s">
        <v>0</v>
      </c>
      <c r="T9" s="36" t="s">
        <v>336</v>
      </c>
    </row>
    <row r="10" spans="1:20" ht="52.5" hidden="1" customHeight="1">
      <c r="A10" s="12">
        <v>6</v>
      </c>
      <c r="B10" s="10" t="s">
        <v>256</v>
      </c>
      <c r="C10" s="14" t="s">
        <v>255</v>
      </c>
      <c r="D10" s="6">
        <v>3</v>
      </c>
      <c r="E10" s="8" t="s">
        <v>144</v>
      </c>
      <c r="F10" s="8">
        <v>1</v>
      </c>
      <c r="G10" s="66" t="s">
        <v>397</v>
      </c>
      <c r="H10" s="5" t="s">
        <v>334</v>
      </c>
      <c r="I10" s="28" t="s">
        <v>184</v>
      </c>
      <c r="J10" s="42">
        <f>'Dados Detalhados'!$L$153</f>
        <v>2224.0974999999999</v>
      </c>
      <c r="K10" s="47">
        <v>0</v>
      </c>
      <c r="L10" s="43">
        <v>0</v>
      </c>
      <c r="M10" s="43">
        <v>0</v>
      </c>
      <c r="N10" s="43">
        <v>0</v>
      </c>
      <c r="O10" s="78">
        <f t="shared" si="0"/>
        <v>2224.0974999999999</v>
      </c>
      <c r="P10" s="78">
        <v>0</v>
      </c>
      <c r="Q10" s="78">
        <f t="shared" si="1"/>
        <v>0</v>
      </c>
      <c r="R10" s="40">
        <v>1</v>
      </c>
      <c r="S10" s="21" t="s">
        <v>0</v>
      </c>
      <c r="T10" s="36" t="s">
        <v>336</v>
      </c>
    </row>
    <row r="11" spans="1:20" ht="52.5" hidden="1" customHeight="1">
      <c r="A11" s="12">
        <v>7</v>
      </c>
      <c r="B11" s="14" t="s">
        <v>254</v>
      </c>
      <c r="C11" s="14" t="s">
        <v>253</v>
      </c>
      <c r="D11" s="6">
        <v>2</v>
      </c>
      <c r="E11" s="8" t="s">
        <v>144</v>
      </c>
      <c r="F11" s="8">
        <v>1</v>
      </c>
      <c r="G11" s="66" t="s">
        <v>397</v>
      </c>
      <c r="H11" s="5" t="s">
        <v>334</v>
      </c>
      <c r="I11" s="28" t="s">
        <v>184</v>
      </c>
      <c r="J11" s="42">
        <v>0</v>
      </c>
      <c r="K11" s="47"/>
      <c r="L11" s="47">
        <f>'Dados Detalhados'!$L$180</f>
        <v>4963.0599999999995</v>
      </c>
      <c r="M11" s="43">
        <v>0</v>
      </c>
      <c r="N11" s="43">
        <v>0</v>
      </c>
      <c r="O11" s="78">
        <f t="shared" si="0"/>
        <v>4963.0599999999995</v>
      </c>
      <c r="P11" s="78">
        <v>0</v>
      </c>
      <c r="Q11" s="78">
        <f t="shared" si="1"/>
        <v>0</v>
      </c>
      <c r="R11" s="40">
        <v>3</v>
      </c>
      <c r="S11" s="21" t="s">
        <v>0</v>
      </c>
      <c r="T11" s="36" t="s">
        <v>336</v>
      </c>
    </row>
    <row r="12" spans="1:20" ht="52.5" hidden="1" customHeight="1">
      <c r="A12" s="12">
        <v>8</v>
      </c>
      <c r="B12" s="14" t="s">
        <v>252</v>
      </c>
      <c r="C12" s="14" t="s">
        <v>251</v>
      </c>
      <c r="D12" s="6">
        <v>1</v>
      </c>
      <c r="E12" s="8" t="s">
        <v>144</v>
      </c>
      <c r="F12" s="8">
        <v>3</v>
      </c>
      <c r="G12" s="66" t="s">
        <v>397</v>
      </c>
      <c r="H12" s="5"/>
      <c r="I12" s="28" t="s">
        <v>184</v>
      </c>
      <c r="J12" s="42">
        <v>0</v>
      </c>
      <c r="K12" s="68"/>
      <c r="L12" s="43">
        <f>'Dados Detalhados'!$L$209</f>
        <v>582.78000000000009</v>
      </c>
      <c r="M12" s="43">
        <v>0</v>
      </c>
      <c r="N12" s="43">
        <v>0</v>
      </c>
      <c r="O12" s="78">
        <f t="shared" si="0"/>
        <v>582.78000000000009</v>
      </c>
      <c r="P12" s="78">
        <v>0</v>
      </c>
      <c r="Q12" s="78">
        <f t="shared" si="1"/>
        <v>0</v>
      </c>
      <c r="R12" s="40">
        <v>1</v>
      </c>
      <c r="S12" s="21" t="s">
        <v>0</v>
      </c>
      <c r="T12" s="36" t="s">
        <v>336</v>
      </c>
    </row>
    <row r="13" spans="1:20" ht="52.5" hidden="1" customHeight="1">
      <c r="A13" s="12">
        <v>9</v>
      </c>
      <c r="B13" s="10" t="s">
        <v>250</v>
      </c>
      <c r="C13" s="14" t="s">
        <v>249</v>
      </c>
      <c r="D13" s="6">
        <v>1</v>
      </c>
      <c r="E13" s="8" t="s">
        <v>144</v>
      </c>
      <c r="F13" s="8">
        <v>2</v>
      </c>
      <c r="G13" s="66" t="s">
        <v>397</v>
      </c>
      <c r="H13" s="5" t="s">
        <v>334</v>
      </c>
      <c r="I13" s="28" t="s">
        <v>184</v>
      </c>
      <c r="J13" s="42">
        <v>0</v>
      </c>
      <c r="K13" s="68"/>
      <c r="L13" s="43">
        <v>0</v>
      </c>
      <c r="M13" s="43">
        <f>'Dados Detalhados'!$L$216</f>
        <v>2058.5600000000004</v>
      </c>
      <c r="N13" s="43">
        <v>0</v>
      </c>
      <c r="O13" s="78">
        <f t="shared" si="0"/>
        <v>2058.5600000000004</v>
      </c>
      <c r="P13" s="78">
        <v>0</v>
      </c>
      <c r="Q13" s="78">
        <f t="shared" si="1"/>
        <v>0</v>
      </c>
      <c r="R13" s="40">
        <v>1</v>
      </c>
      <c r="S13" s="21" t="s">
        <v>0</v>
      </c>
      <c r="T13" s="36" t="s">
        <v>336</v>
      </c>
    </row>
    <row r="14" spans="1:20" ht="52.5" hidden="1" customHeight="1">
      <c r="A14" s="12">
        <v>10</v>
      </c>
      <c r="B14" s="10" t="s">
        <v>248</v>
      </c>
      <c r="C14" s="10" t="s">
        <v>247</v>
      </c>
      <c r="D14" s="6">
        <v>3</v>
      </c>
      <c r="E14" s="8" t="s">
        <v>144</v>
      </c>
      <c r="F14" s="8">
        <v>1</v>
      </c>
      <c r="G14" s="66" t="s">
        <v>397</v>
      </c>
      <c r="H14" s="9" t="s">
        <v>334</v>
      </c>
      <c r="I14" s="28" t="s">
        <v>184</v>
      </c>
      <c r="J14" s="42">
        <f>'Dados Detalhados'!$L$233</f>
        <v>80</v>
      </c>
      <c r="K14" s="47">
        <v>0</v>
      </c>
      <c r="L14" s="43">
        <v>0</v>
      </c>
      <c r="M14" s="43">
        <v>0</v>
      </c>
      <c r="N14" s="43">
        <v>0</v>
      </c>
      <c r="O14" s="78">
        <f t="shared" si="0"/>
        <v>80</v>
      </c>
      <c r="P14" s="78">
        <v>0</v>
      </c>
      <c r="Q14" s="78">
        <f t="shared" si="1"/>
        <v>0</v>
      </c>
      <c r="R14" s="40">
        <v>1</v>
      </c>
      <c r="S14" s="21" t="s">
        <v>0</v>
      </c>
      <c r="T14" s="36" t="s">
        <v>336</v>
      </c>
    </row>
    <row r="15" spans="1:20" ht="52.5" hidden="1" customHeight="1">
      <c r="A15" s="12">
        <v>11</v>
      </c>
      <c r="B15" s="10" t="s">
        <v>246</v>
      </c>
      <c r="C15" s="51" t="s">
        <v>333</v>
      </c>
      <c r="D15" s="6">
        <v>1</v>
      </c>
      <c r="E15" s="8" t="s">
        <v>144</v>
      </c>
      <c r="F15" s="8">
        <v>1</v>
      </c>
      <c r="G15" s="66" t="s">
        <v>397</v>
      </c>
      <c r="H15" s="5"/>
      <c r="I15" s="28" t="s">
        <v>184</v>
      </c>
      <c r="J15" s="42">
        <f>'Dados Detalhados'!$L$235</f>
        <v>0</v>
      </c>
      <c r="K15" s="47"/>
      <c r="L15" s="43"/>
      <c r="M15" s="43"/>
      <c r="N15" s="43"/>
      <c r="O15" s="78">
        <f t="shared" si="0"/>
        <v>0</v>
      </c>
      <c r="P15" s="78"/>
      <c r="Q15" s="78">
        <f t="shared" si="1"/>
        <v>0</v>
      </c>
      <c r="R15" s="40">
        <v>1</v>
      </c>
      <c r="S15" s="23" t="s">
        <v>0</v>
      </c>
      <c r="T15" s="36" t="s">
        <v>336</v>
      </c>
    </row>
    <row r="16" spans="1:20" ht="52.5" hidden="1" customHeight="1">
      <c r="A16" s="12">
        <v>12</v>
      </c>
      <c r="B16" s="10" t="s">
        <v>245</v>
      </c>
      <c r="C16" s="51" t="s">
        <v>393</v>
      </c>
      <c r="D16" s="6">
        <v>1</v>
      </c>
      <c r="E16" s="8" t="s">
        <v>144</v>
      </c>
      <c r="F16" s="8">
        <v>1</v>
      </c>
      <c r="G16" s="66" t="s">
        <v>397</v>
      </c>
      <c r="H16" s="9"/>
      <c r="I16" s="28" t="s">
        <v>184</v>
      </c>
      <c r="J16" s="42">
        <f>'Dados Detalhados'!$L$247</f>
        <v>60330</v>
      </c>
      <c r="K16" s="42">
        <f>'Dados Detalhados'!$L$247</f>
        <v>60330</v>
      </c>
      <c r="L16" s="42">
        <f>'Dados Detalhados'!$L$247</f>
        <v>60330</v>
      </c>
      <c r="M16" s="42">
        <f>'Dados Detalhados'!$L$247</f>
        <v>60330</v>
      </c>
      <c r="N16" s="42">
        <f>'Dados Detalhados'!$L$247</f>
        <v>60330</v>
      </c>
      <c r="O16" s="78">
        <f t="shared" si="0"/>
        <v>301650</v>
      </c>
      <c r="P16" s="78">
        <v>76968</v>
      </c>
      <c r="Q16" s="78">
        <f t="shared" si="1"/>
        <v>-16638</v>
      </c>
      <c r="R16" s="40">
        <v>1</v>
      </c>
      <c r="S16" s="23" t="s">
        <v>0</v>
      </c>
      <c r="T16" s="36" t="s">
        <v>336</v>
      </c>
    </row>
    <row r="17" spans="1:20" ht="52.5" hidden="1" customHeight="1">
      <c r="A17" s="12">
        <v>13</v>
      </c>
      <c r="B17" s="10" t="s">
        <v>244</v>
      </c>
      <c r="C17" s="14" t="s">
        <v>243</v>
      </c>
      <c r="D17" s="6">
        <v>1</v>
      </c>
      <c r="E17" s="8" t="s">
        <v>144</v>
      </c>
      <c r="F17" s="8">
        <v>3</v>
      </c>
      <c r="G17" s="66" t="s">
        <v>397</v>
      </c>
      <c r="H17" s="5"/>
      <c r="I17" s="28" t="s">
        <v>184</v>
      </c>
      <c r="J17" s="42">
        <v>0</v>
      </c>
      <c r="K17" s="47">
        <f>'Dados Detalhados'!$L$258</f>
        <v>1804.6575</v>
      </c>
      <c r="L17" s="43">
        <v>0</v>
      </c>
      <c r="M17" s="43">
        <v>0</v>
      </c>
      <c r="N17" s="43">
        <v>0</v>
      </c>
      <c r="O17" s="78">
        <f t="shared" si="0"/>
        <v>1804.6575</v>
      </c>
      <c r="P17" s="78">
        <v>0</v>
      </c>
      <c r="Q17" s="78">
        <f t="shared" si="1"/>
        <v>0</v>
      </c>
      <c r="R17" s="40">
        <v>1</v>
      </c>
      <c r="S17" s="21" t="s">
        <v>0</v>
      </c>
      <c r="T17" s="36" t="s">
        <v>336</v>
      </c>
    </row>
    <row r="18" spans="1:20" ht="52.5" hidden="1" customHeight="1">
      <c r="A18" s="12">
        <v>14</v>
      </c>
      <c r="B18" s="10" t="s">
        <v>242</v>
      </c>
      <c r="C18" s="14" t="s">
        <v>241</v>
      </c>
      <c r="D18" s="6">
        <v>1</v>
      </c>
      <c r="E18" s="8" t="s">
        <v>144</v>
      </c>
      <c r="F18" s="8">
        <v>1</v>
      </c>
      <c r="G18" s="66" t="s">
        <v>397</v>
      </c>
      <c r="H18" s="5" t="s">
        <v>332</v>
      </c>
      <c r="I18" s="28" t="s">
        <v>184</v>
      </c>
      <c r="J18" s="42">
        <f>'Dados Detalhados'!$L$280</f>
        <v>11876</v>
      </c>
      <c r="K18" s="42">
        <f>'Dados Detalhados'!$L$280</f>
        <v>11876</v>
      </c>
      <c r="L18" s="42">
        <f>'Dados Detalhados'!$L$280</f>
        <v>11876</v>
      </c>
      <c r="M18" s="43">
        <v>0</v>
      </c>
      <c r="N18" s="43">
        <v>0</v>
      </c>
      <c r="O18" s="78">
        <f t="shared" si="0"/>
        <v>35628</v>
      </c>
      <c r="P18" s="78">
        <v>0</v>
      </c>
      <c r="Q18" s="78">
        <f t="shared" si="1"/>
        <v>0</v>
      </c>
      <c r="R18" s="40">
        <v>1</v>
      </c>
      <c r="S18" s="21" t="s">
        <v>1</v>
      </c>
      <c r="T18" s="36" t="s">
        <v>337</v>
      </c>
    </row>
    <row r="19" spans="1:20" ht="52.5" hidden="1" customHeight="1">
      <c r="A19" s="12">
        <v>15</v>
      </c>
      <c r="B19" s="10" t="s">
        <v>240</v>
      </c>
      <c r="C19" s="14" t="s">
        <v>239</v>
      </c>
      <c r="D19" s="6">
        <v>1</v>
      </c>
      <c r="E19" s="8" t="s">
        <v>144</v>
      </c>
      <c r="F19" s="8">
        <v>1</v>
      </c>
      <c r="G19" s="66" t="s">
        <v>397</v>
      </c>
      <c r="H19" s="5" t="s">
        <v>332</v>
      </c>
      <c r="I19" s="28" t="s">
        <v>184</v>
      </c>
      <c r="J19" s="42">
        <v>0</v>
      </c>
      <c r="K19" s="44">
        <f>'Dados Detalhados'!$L$285</f>
        <v>3696.08</v>
      </c>
      <c r="L19" s="43">
        <v>0</v>
      </c>
      <c r="M19" s="43">
        <v>0</v>
      </c>
      <c r="N19" s="43">
        <v>0</v>
      </c>
      <c r="O19" s="78">
        <f t="shared" si="0"/>
        <v>3696.08</v>
      </c>
      <c r="P19" s="78">
        <v>0</v>
      </c>
      <c r="Q19" s="78">
        <f t="shared" si="1"/>
        <v>0</v>
      </c>
      <c r="R19" s="40">
        <v>1</v>
      </c>
      <c r="S19" s="21" t="s">
        <v>1</v>
      </c>
      <c r="T19" s="36" t="s">
        <v>337</v>
      </c>
    </row>
    <row r="20" spans="1:20" ht="52.5" hidden="1" customHeight="1">
      <c r="A20" s="12">
        <v>16</v>
      </c>
      <c r="B20" s="10" t="s">
        <v>238</v>
      </c>
      <c r="C20" s="11" t="s">
        <v>237</v>
      </c>
      <c r="D20" s="6">
        <v>2</v>
      </c>
      <c r="E20" s="8" t="s">
        <v>144</v>
      </c>
      <c r="F20" s="8">
        <v>1</v>
      </c>
      <c r="G20" s="66" t="s">
        <v>397</v>
      </c>
      <c r="H20" s="5" t="s">
        <v>332</v>
      </c>
      <c r="I20" s="28" t="s">
        <v>184</v>
      </c>
      <c r="J20" s="42">
        <v>0</v>
      </c>
      <c r="K20" s="47">
        <v>0</v>
      </c>
      <c r="L20" s="43">
        <f>'Dados Detalhados'!$L$300</f>
        <v>60152</v>
      </c>
      <c r="M20" s="43">
        <v>0</v>
      </c>
      <c r="N20" s="43">
        <v>0</v>
      </c>
      <c r="O20" s="78">
        <f t="shared" si="0"/>
        <v>60152</v>
      </c>
      <c r="P20" s="78">
        <v>0</v>
      </c>
      <c r="Q20" s="78">
        <f t="shared" si="1"/>
        <v>0</v>
      </c>
      <c r="R20" s="40">
        <v>1</v>
      </c>
      <c r="S20" s="21" t="s">
        <v>1</v>
      </c>
      <c r="T20" s="36" t="s">
        <v>337</v>
      </c>
    </row>
    <row r="21" spans="1:20" ht="52.5" hidden="1" customHeight="1">
      <c r="A21" s="12">
        <v>17</v>
      </c>
      <c r="B21" s="10" t="s">
        <v>236</v>
      </c>
      <c r="C21" s="14" t="s">
        <v>235</v>
      </c>
      <c r="D21" s="6">
        <v>1</v>
      </c>
      <c r="E21" s="8" t="s">
        <v>144</v>
      </c>
      <c r="F21" s="8">
        <v>1</v>
      </c>
      <c r="G21" s="66" t="s">
        <v>397</v>
      </c>
      <c r="H21" s="5" t="s">
        <v>332</v>
      </c>
      <c r="I21" s="28" t="s">
        <v>184</v>
      </c>
      <c r="J21" s="42">
        <v>0</v>
      </c>
      <c r="K21" s="47">
        <v>0</v>
      </c>
      <c r="L21" s="43">
        <f>'Dados Detalhados'!$L$305</f>
        <v>10376</v>
      </c>
      <c r="M21" s="43">
        <v>0</v>
      </c>
      <c r="N21" s="43">
        <v>0</v>
      </c>
      <c r="O21" s="78">
        <f t="shared" si="0"/>
        <v>10376</v>
      </c>
      <c r="P21" s="78">
        <v>0</v>
      </c>
      <c r="Q21" s="78">
        <f t="shared" si="1"/>
        <v>0</v>
      </c>
      <c r="R21" s="40">
        <v>1</v>
      </c>
      <c r="S21" s="21" t="s">
        <v>1</v>
      </c>
      <c r="T21" s="36" t="s">
        <v>337</v>
      </c>
    </row>
    <row r="22" spans="1:20" ht="52.5" hidden="1" customHeight="1">
      <c r="A22" s="12">
        <v>18</v>
      </c>
      <c r="B22" s="10" t="s">
        <v>234</v>
      </c>
      <c r="C22" s="14" t="s">
        <v>233</v>
      </c>
      <c r="D22" s="6">
        <v>1</v>
      </c>
      <c r="E22" s="8" t="s">
        <v>389</v>
      </c>
      <c r="F22" s="8">
        <v>2</v>
      </c>
      <c r="G22" s="66" t="s">
        <v>400</v>
      </c>
      <c r="H22" s="5" t="s">
        <v>332</v>
      </c>
      <c r="I22" s="28" t="s">
        <v>184</v>
      </c>
      <c r="J22" s="42">
        <v>0</v>
      </c>
      <c r="K22" s="47">
        <v>0</v>
      </c>
      <c r="L22" s="43">
        <f>'Dados Detalhados'!$L$310</f>
        <v>38152</v>
      </c>
      <c r="M22" s="43">
        <f>'Dados Detalhados'!$L$310</f>
        <v>38152</v>
      </c>
      <c r="N22" s="43">
        <v>0</v>
      </c>
      <c r="O22" s="78">
        <f t="shared" si="0"/>
        <v>76304</v>
      </c>
      <c r="P22" s="78">
        <v>0</v>
      </c>
      <c r="Q22" s="78">
        <f t="shared" si="1"/>
        <v>0</v>
      </c>
      <c r="R22" s="40">
        <v>1</v>
      </c>
      <c r="S22" s="21" t="s">
        <v>1</v>
      </c>
      <c r="T22" s="36" t="s">
        <v>339</v>
      </c>
    </row>
    <row r="23" spans="1:20" ht="52.5" hidden="1" customHeight="1">
      <c r="A23" s="12">
        <v>19</v>
      </c>
      <c r="B23" s="10" t="s">
        <v>232</v>
      </c>
      <c r="C23" s="14" t="s">
        <v>231</v>
      </c>
      <c r="D23" s="6">
        <v>1</v>
      </c>
      <c r="E23" s="8" t="s">
        <v>144</v>
      </c>
      <c r="F23" s="307">
        <v>1</v>
      </c>
      <c r="G23" s="66" t="s">
        <v>399</v>
      </c>
      <c r="H23" s="5" t="s">
        <v>332</v>
      </c>
      <c r="I23" s="28" t="s">
        <v>184</v>
      </c>
      <c r="J23" s="42">
        <v>0</v>
      </c>
      <c r="K23" s="48">
        <v>0</v>
      </c>
      <c r="L23" s="43">
        <f>'Dados Detalhados'!$L$315</f>
        <v>20752</v>
      </c>
      <c r="M23" s="43"/>
      <c r="N23" s="43">
        <v>0</v>
      </c>
      <c r="O23" s="78">
        <f t="shared" si="0"/>
        <v>20752</v>
      </c>
      <c r="P23" s="78">
        <v>0</v>
      </c>
      <c r="Q23" s="78">
        <f t="shared" si="1"/>
        <v>0</v>
      </c>
      <c r="R23" s="40">
        <v>3</v>
      </c>
      <c r="S23" s="21" t="s">
        <v>1</v>
      </c>
      <c r="T23" s="36" t="s">
        <v>337</v>
      </c>
    </row>
    <row r="24" spans="1:20" ht="52.5" hidden="1" customHeight="1">
      <c r="A24" s="12">
        <v>20</v>
      </c>
      <c r="B24" s="10" t="s">
        <v>230</v>
      </c>
      <c r="C24" s="14" t="s">
        <v>229</v>
      </c>
      <c r="D24" s="6">
        <v>1</v>
      </c>
      <c r="E24" s="8" t="s">
        <v>144</v>
      </c>
      <c r="F24" s="307">
        <v>1</v>
      </c>
      <c r="G24" s="66" t="s">
        <v>399</v>
      </c>
      <c r="H24" s="5" t="s">
        <v>332</v>
      </c>
      <c r="I24" s="28" t="s">
        <v>184</v>
      </c>
      <c r="J24" s="42">
        <v>0</v>
      </c>
      <c r="K24" s="47">
        <v>0</v>
      </c>
      <c r="L24" s="43">
        <f>'Dados Detalhados'!$L$320</f>
        <v>4103.0599999999995</v>
      </c>
      <c r="M24" s="43">
        <v>0</v>
      </c>
      <c r="N24" s="43">
        <v>0</v>
      </c>
      <c r="O24" s="78">
        <f t="shared" si="0"/>
        <v>4103.0599999999995</v>
      </c>
      <c r="P24" s="78">
        <v>0</v>
      </c>
      <c r="Q24" s="78">
        <f t="shared" si="1"/>
        <v>0</v>
      </c>
      <c r="R24" s="40">
        <v>3</v>
      </c>
      <c r="S24" s="21" t="s">
        <v>1</v>
      </c>
      <c r="T24" s="36" t="s">
        <v>337</v>
      </c>
    </row>
    <row r="25" spans="1:20" ht="58.5" hidden="1" customHeight="1">
      <c r="A25" s="12">
        <v>21</v>
      </c>
      <c r="B25" s="10" t="s">
        <v>228</v>
      </c>
      <c r="C25" s="14" t="s">
        <v>227</v>
      </c>
      <c r="D25" s="6">
        <v>2</v>
      </c>
      <c r="E25" s="8" t="s">
        <v>144</v>
      </c>
      <c r="F25" s="307">
        <v>1</v>
      </c>
      <c r="G25" s="66" t="s">
        <v>399</v>
      </c>
      <c r="H25" s="5" t="s">
        <v>332</v>
      </c>
      <c r="I25" s="28" t="s">
        <v>184</v>
      </c>
      <c r="J25" s="42"/>
      <c r="K25" s="47"/>
      <c r="L25" s="43"/>
      <c r="M25" s="43"/>
      <c r="N25" s="43">
        <f>'Dados Detalhados'!$L$320</f>
        <v>4103.0599999999995</v>
      </c>
      <c r="O25" s="78">
        <f t="shared" si="0"/>
        <v>4103.0599999999995</v>
      </c>
      <c r="P25" s="78">
        <v>4103.0599999999995</v>
      </c>
      <c r="Q25" s="78">
        <f t="shared" si="1"/>
        <v>0</v>
      </c>
      <c r="R25" s="40">
        <v>3</v>
      </c>
      <c r="S25" s="21" t="s">
        <v>1</v>
      </c>
      <c r="T25" s="36" t="s">
        <v>337</v>
      </c>
    </row>
    <row r="26" spans="1:20" ht="52.5" hidden="1" customHeight="1">
      <c r="A26" s="12">
        <v>22</v>
      </c>
      <c r="B26" s="10" t="s">
        <v>226</v>
      </c>
      <c r="C26" s="14" t="s">
        <v>225</v>
      </c>
      <c r="D26" s="6">
        <v>1</v>
      </c>
      <c r="E26" s="8" t="s">
        <v>144</v>
      </c>
      <c r="F26" s="8">
        <v>1</v>
      </c>
      <c r="G26" s="66" t="s">
        <v>397</v>
      </c>
      <c r="H26" s="5" t="s">
        <v>331</v>
      </c>
      <c r="I26" s="28" t="s">
        <v>184</v>
      </c>
      <c r="J26" s="42">
        <f>'Dados Detalhados'!$L$352</f>
        <v>185</v>
      </c>
      <c r="K26" s="47">
        <v>0</v>
      </c>
      <c r="L26" s="43">
        <v>0</v>
      </c>
      <c r="M26" s="43">
        <v>0</v>
      </c>
      <c r="N26" s="43">
        <v>0</v>
      </c>
      <c r="O26" s="78">
        <f t="shared" si="0"/>
        <v>185</v>
      </c>
      <c r="P26" s="78">
        <v>0</v>
      </c>
      <c r="Q26" s="78">
        <f t="shared" si="1"/>
        <v>0</v>
      </c>
      <c r="R26" s="40">
        <v>1</v>
      </c>
      <c r="S26" s="21" t="s">
        <v>226</v>
      </c>
      <c r="T26" s="36" t="s">
        <v>338</v>
      </c>
    </row>
    <row r="27" spans="1:20" ht="52.5" hidden="1" customHeight="1">
      <c r="A27" s="12">
        <v>23</v>
      </c>
      <c r="B27" s="10" t="s">
        <v>2</v>
      </c>
      <c r="C27" s="10" t="s">
        <v>224</v>
      </c>
      <c r="D27" s="6">
        <v>3</v>
      </c>
      <c r="E27" s="8" t="s">
        <v>144</v>
      </c>
      <c r="F27" s="8">
        <v>1</v>
      </c>
      <c r="G27" s="66" t="s">
        <v>397</v>
      </c>
      <c r="H27" s="5" t="s">
        <v>330</v>
      </c>
      <c r="I27" s="28" t="s">
        <v>184</v>
      </c>
      <c r="J27" s="42">
        <f>'Dados Detalhados'!$L$355</f>
        <v>366.67</v>
      </c>
      <c r="K27" s="42">
        <f>'Dados Detalhados'!$L$355</f>
        <v>366.67</v>
      </c>
      <c r="L27" s="42">
        <f>'Dados Detalhados'!$L$355</f>
        <v>366.67</v>
      </c>
      <c r="M27" s="42">
        <f>'Dados Detalhados'!$L$355</f>
        <v>366.67</v>
      </c>
      <c r="N27" s="42">
        <f>'Dados Detalhados'!$L$355</f>
        <v>366.67</v>
      </c>
      <c r="O27" s="78">
        <f t="shared" si="0"/>
        <v>1833.3500000000001</v>
      </c>
      <c r="P27" s="78">
        <v>366.67</v>
      </c>
      <c r="Q27" s="78">
        <f t="shared" si="1"/>
        <v>0</v>
      </c>
      <c r="R27" s="40">
        <v>1</v>
      </c>
      <c r="S27" s="21" t="s">
        <v>2</v>
      </c>
      <c r="T27" s="36" t="s">
        <v>338</v>
      </c>
    </row>
    <row r="28" spans="1:20" ht="52.5" hidden="1" customHeight="1">
      <c r="A28" s="12">
        <v>24</v>
      </c>
      <c r="B28" s="10" t="s">
        <v>223</v>
      </c>
      <c r="C28" s="10" t="s">
        <v>222</v>
      </c>
      <c r="D28" s="6">
        <v>1</v>
      </c>
      <c r="E28" s="8" t="s">
        <v>144</v>
      </c>
      <c r="F28" s="8">
        <v>1</v>
      </c>
      <c r="G28" s="66" t="s">
        <v>397</v>
      </c>
      <c r="H28" s="5"/>
      <c r="I28" s="28" t="s">
        <v>184</v>
      </c>
      <c r="J28" s="88">
        <f>'Dados Detalhados'!$L$360</f>
        <v>1450</v>
      </c>
      <c r="K28" s="88">
        <f>'Dados Detalhados'!$L$360</f>
        <v>1450</v>
      </c>
      <c r="L28" s="88">
        <f>'Dados Detalhados'!$L$360</f>
        <v>1450</v>
      </c>
      <c r="M28" s="88">
        <f>'Dados Detalhados'!$L$360</f>
        <v>1450</v>
      </c>
      <c r="N28" s="88">
        <v>5426</v>
      </c>
      <c r="O28" s="78">
        <f t="shared" si="0"/>
        <v>11226</v>
      </c>
      <c r="P28" s="78">
        <v>5426</v>
      </c>
      <c r="Q28" s="78">
        <f t="shared" si="1"/>
        <v>0</v>
      </c>
      <c r="R28" s="40">
        <v>1</v>
      </c>
      <c r="S28" s="21" t="s">
        <v>2</v>
      </c>
      <c r="T28" s="36" t="s">
        <v>338</v>
      </c>
    </row>
    <row r="29" spans="1:20" ht="52.5" hidden="1" customHeight="1">
      <c r="A29" s="12">
        <v>25</v>
      </c>
      <c r="B29" s="10" t="s">
        <v>221</v>
      </c>
      <c r="C29" s="18" t="s">
        <v>220</v>
      </c>
      <c r="D29" s="6">
        <v>1</v>
      </c>
      <c r="E29" s="8" t="s">
        <v>144</v>
      </c>
      <c r="F29" s="8">
        <v>1</v>
      </c>
      <c r="G29" s="66" t="s">
        <v>398</v>
      </c>
      <c r="H29" s="5" t="s">
        <v>329</v>
      </c>
      <c r="I29" s="7" t="s">
        <v>184</v>
      </c>
      <c r="J29" s="42">
        <f>'Dados Detalhados'!$L$368</f>
        <v>5904.7700000000013</v>
      </c>
      <c r="K29" s="42">
        <f>'Dados Detalhados'!$L$368</f>
        <v>5904.7700000000013</v>
      </c>
      <c r="L29" s="42">
        <f>'Dados Detalhados'!$L$368</f>
        <v>5904.7700000000013</v>
      </c>
      <c r="M29" s="42">
        <f>'Dados Detalhados'!$L$368</f>
        <v>5904.7700000000013</v>
      </c>
      <c r="N29" s="42">
        <f>'Dados Detalhados'!$L$368</f>
        <v>5904.7700000000013</v>
      </c>
      <c r="O29" s="78">
        <f t="shared" si="0"/>
        <v>29523.850000000006</v>
      </c>
      <c r="P29" s="78">
        <v>5904.7700000000013</v>
      </c>
      <c r="Q29" s="78">
        <f t="shared" si="1"/>
        <v>0</v>
      </c>
      <c r="R29" s="40">
        <v>2</v>
      </c>
      <c r="S29" s="21" t="s">
        <v>216</v>
      </c>
      <c r="T29" s="36" t="s">
        <v>338</v>
      </c>
    </row>
    <row r="30" spans="1:20" ht="52.5" hidden="1" customHeight="1">
      <c r="A30" s="12">
        <v>26</v>
      </c>
      <c r="B30" s="11" t="s">
        <v>219</v>
      </c>
      <c r="C30" s="1" t="s">
        <v>889</v>
      </c>
      <c r="D30" s="151">
        <v>1</v>
      </c>
      <c r="E30" s="33" t="s">
        <v>144</v>
      </c>
      <c r="F30" s="8">
        <v>1</v>
      </c>
      <c r="G30" s="66" t="s">
        <v>398</v>
      </c>
      <c r="H30" s="5"/>
      <c r="I30" s="7" t="s">
        <v>184</v>
      </c>
      <c r="J30" s="42">
        <f>'Dados Detalhados'!$L$395</f>
        <v>5074.08</v>
      </c>
      <c r="K30" s="42">
        <f>'Dados Detalhados'!$L$395</f>
        <v>5074.08</v>
      </c>
      <c r="L30" s="42">
        <f>'Dados Detalhados'!$L$395</f>
        <v>5074.08</v>
      </c>
      <c r="M30" s="42">
        <f>'Dados Detalhados'!$L$395</f>
        <v>5074.08</v>
      </c>
      <c r="N30" s="42">
        <f>'Dados Detalhados'!$L$395</f>
        <v>5074.08</v>
      </c>
      <c r="O30" s="78">
        <f t="shared" si="0"/>
        <v>25370.400000000001</v>
      </c>
      <c r="P30" s="78">
        <v>5074.08</v>
      </c>
      <c r="Q30" s="78">
        <f t="shared" si="1"/>
        <v>0</v>
      </c>
      <c r="R30" s="40">
        <v>2</v>
      </c>
      <c r="S30" s="21" t="s">
        <v>216</v>
      </c>
      <c r="T30" s="36" t="s">
        <v>338</v>
      </c>
    </row>
    <row r="31" spans="1:20" ht="52.5" hidden="1" customHeight="1">
      <c r="A31" s="217" t="s">
        <v>890</v>
      </c>
      <c r="B31" s="51" t="s">
        <v>891</v>
      </c>
      <c r="C31" s="20" t="s">
        <v>892</v>
      </c>
      <c r="D31" s="212">
        <v>1</v>
      </c>
      <c r="E31" s="19" t="s">
        <v>144</v>
      </c>
      <c r="F31" s="19">
        <v>1</v>
      </c>
      <c r="G31" s="213" t="s">
        <v>398</v>
      </c>
      <c r="H31" s="216"/>
      <c r="I31" s="265"/>
      <c r="J31" s="214"/>
      <c r="K31" s="214">
        <f>'Dados Detalhados'!L399</f>
        <v>65308.936739930832</v>
      </c>
      <c r="L31" s="214">
        <f>'Dados Detalhados'!L400</f>
        <v>70573.580274461681</v>
      </c>
      <c r="M31" s="214">
        <f>'Dados Detalhados'!H401</f>
        <v>78101.305366506771</v>
      </c>
      <c r="N31" s="214">
        <f>'Dados Detalhados'!H402</f>
        <v>85911.435903157457</v>
      </c>
      <c r="O31" s="78">
        <f t="shared" si="0"/>
        <v>299895.25828405673</v>
      </c>
      <c r="P31" s="215">
        <v>85911.435903157457</v>
      </c>
      <c r="Q31" s="78">
        <f t="shared" si="1"/>
        <v>0</v>
      </c>
      <c r="R31" s="40"/>
      <c r="S31" s="21"/>
      <c r="T31" s="36"/>
    </row>
    <row r="32" spans="1:20" ht="52.5" hidden="1" customHeight="1">
      <c r="A32" s="12">
        <v>27</v>
      </c>
      <c r="B32" s="10" t="s">
        <v>218</v>
      </c>
      <c r="C32" s="18" t="s">
        <v>217</v>
      </c>
      <c r="D32" s="6">
        <v>1</v>
      </c>
      <c r="E32" s="8" t="s">
        <v>144</v>
      </c>
      <c r="F32" s="8">
        <v>1</v>
      </c>
      <c r="G32" s="66" t="s">
        <v>398</v>
      </c>
      <c r="H32" s="5"/>
      <c r="I32" s="7" t="s">
        <v>184</v>
      </c>
      <c r="J32" s="42">
        <f>'Dados Detalhados'!$L$403</f>
        <v>6306.48</v>
      </c>
      <c r="K32" s="42">
        <f>'Dados Detalhados'!$L$403</f>
        <v>6306.48</v>
      </c>
      <c r="L32" s="42">
        <f>'Dados Detalhados'!$L$403</f>
        <v>6306.48</v>
      </c>
      <c r="M32" s="42">
        <f>'Dados Detalhados'!$L$403</f>
        <v>6306.48</v>
      </c>
      <c r="N32" s="42">
        <f>'Dados Detalhados'!$L$403</f>
        <v>6306.48</v>
      </c>
      <c r="O32" s="78">
        <f t="shared" si="0"/>
        <v>31532.399999999998</v>
      </c>
      <c r="P32" s="78">
        <v>6306.48</v>
      </c>
      <c r="Q32" s="78">
        <f t="shared" si="1"/>
        <v>0</v>
      </c>
      <c r="R32" s="40">
        <v>2</v>
      </c>
      <c r="S32" s="21" t="s">
        <v>216</v>
      </c>
      <c r="T32" s="36" t="s">
        <v>338</v>
      </c>
    </row>
    <row r="33" spans="1:20" ht="52.5" hidden="1" customHeight="1">
      <c r="A33" s="12">
        <v>28</v>
      </c>
      <c r="B33" s="10" t="s">
        <v>215</v>
      </c>
      <c r="C33" s="18" t="s">
        <v>214</v>
      </c>
      <c r="D33" s="6">
        <v>1</v>
      </c>
      <c r="E33" s="8" t="s">
        <v>144</v>
      </c>
      <c r="F33" s="8">
        <v>1</v>
      </c>
      <c r="G33" s="66" t="s">
        <v>398</v>
      </c>
      <c r="H33" s="5"/>
      <c r="I33" s="7" t="s">
        <v>184</v>
      </c>
      <c r="J33" s="42">
        <f>'Dados Detalhados'!$L$406</f>
        <v>8320</v>
      </c>
      <c r="K33" s="42">
        <f>'Dados Detalhados'!$L$406</f>
        <v>8320</v>
      </c>
      <c r="L33" s="42">
        <f>'Dados Detalhados'!$L$406</f>
        <v>8320</v>
      </c>
      <c r="M33" s="42">
        <f>'Dados Detalhados'!$L$406</f>
        <v>8320</v>
      </c>
      <c r="N33" s="42">
        <f>'Dados Detalhados'!$L$406</f>
        <v>8320</v>
      </c>
      <c r="O33" s="78">
        <f t="shared" si="0"/>
        <v>41600</v>
      </c>
      <c r="P33" s="78">
        <v>8320</v>
      </c>
      <c r="Q33" s="78">
        <f t="shared" si="1"/>
        <v>0</v>
      </c>
      <c r="R33" s="40">
        <v>2</v>
      </c>
      <c r="S33" s="21" t="s">
        <v>216</v>
      </c>
      <c r="T33" s="36" t="s">
        <v>338</v>
      </c>
    </row>
    <row r="34" spans="1:20" ht="52.5" hidden="1" customHeight="1">
      <c r="A34" s="12">
        <v>29</v>
      </c>
      <c r="B34" s="10" t="s">
        <v>213</v>
      </c>
      <c r="C34" s="14" t="s">
        <v>212</v>
      </c>
      <c r="D34" s="6">
        <v>1</v>
      </c>
      <c r="E34" s="8" t="s">
        <v>144</v>
      </c>
      <c r="F34" s="8">
        <v>2</v>
      </c>
      <c r="G34" s="66" t="s">
        <v>398</v>
      </c>
      <c r="H34" s="5"/>
      <c r="I34" s="7" t="s">
        <v>184</v>
      </c>
      <c r="J34" s="42">
        <v>0</v>
      </c>
      <c r="K34" s="48">
        <v>0</v>
      </c>
      <c r="L34" s="43">
        <f>'Dados Detalhados'!$L$409</f>
        <v>32240</v>
      </c>
      <c r="M34" s="43">
        <v>0</v>
      </c>
      <c r="N34" s="43">
        <v>0</v>
      </c>
      <c r="O34" s="78">
        <f t="shared" si="0"/>
        <v>32240</v>
      </c>
      <c r="P34" s="78">
        <v>0</v>
      </c>
      <c r="Q34" s="78">
        <f t="shared" si="1"/>
        <v>0</v>
      </c>
      <c r="R34" s="40">
        <v>2</v>
      </c>
      <c r="S34" s="21" t="s">
        <v>201</v>
      </c>
      <c r="T34" s="36" t="s">
        <v>338</v>
      </c>
    </row>
    <row r="35" spans="1:20" ht="58.5" hidden="1" customHeight="1">
      <c r="A35" s="12">
        <v>30</v>
      </c>
      <c r="B35" s="10" t="s">
        <v>211</v>
      </c>
      <c r="C35" s="14" t="s">
        <v>210</v>
      </c>
      <c r="D35" s="6">
        <v>1</v>
      </c>
      <c r="E35" s="8" t="s">
        <v>144</v>
      </c>
      <c r="F35" s="8">
        <v>1</v>
      </c>
      <c r="G35" s="66" t="s">
        <v>398</v>
      </c>
      <c r="H35" s="5"/>
      <c r="I35" s="7" t="s">
        <v>184</v>
      </c>
      <c r="J35" s="42">
        <v>0</v>
      </c>
      <c r="K35" s="47">
        <v>0</v>
      </c>
      <c r="L35" s="43">
        <f>'Dados Detalhados'!$L$412</f>
        <v>23611.11</v>
      </c>
      <c r="M35" s="43">
        <v>0</v>
      </c>
      <c r="N35" s="43">
        <v>0</v>
      </c>
      <c r="O35" s="78">
        <f t="shared" si="0"/>
        <v>23611.11</v>
      </c>
      <c r="P35" s="78">
        <v>0</v>
      </c>
      <c r="Q35" s="78">
        <f t="shared" si="1"/>
        <v>0</v>
      </c>
      <c r="R35" s="40">
        <v>2</v>
      </c>
      <c r="S35" s="21" t="s">
        <v>201</v>
      </c>
      <c r="T35" s="36" t="s">
        <v>338</v>
      </c>
    </row>
    <row r="36" spans="1:20" ht="52.5" hidden="1" customHeight="1">
      <c r="A36" s="12">
        <v>31</v>
      </c>
      <c r="B36" s="14" t="s">
        <v>209</v>
      </c>
      <c r="C36" s="18" t="s">
        <v>208</v>
      </c>
      <c r="D36" s="6">
        <v>2</v>
      </c>
      <c r="E36" s="8" t="s">
        <v>144</v>
      </c>
      <c r="F36" s="8">
        <v>1</v>
      </c>
      <c r="G36" s="66" t="s">
        <v>398</v>
      </c>
      <c r="H36" s="5"/>
      <c r="I36" s="7" t="s">
        <v>184</v>
      </c>
      <c r="J36" s="42">
        <f>'Dados Detalhados'!$L$417</f>
        <v>1284</v>
      </c>
      <c r="K36" s="42">
        <f>'Dados Detalhados'!$L$417</f>
        <v>1284</v>
      </c>
      <c r="L36" s="42">
        <f>'Dados Detalhados'!$L$417</f>
        <v>1284</v>
      </c>
      <c r="M36" s="42">
        <f>'Dados Detalhados'!$L$417</f>
        <v>1284</v>
      </c>
      <c r="N36" s="42">
        <f>'Dados Detalhados'!$L$417</f>
        <v>1284</v>
      </c>
      <c r="O36" s="78">
        <f t="shared" si="0"/>
        <v>6420</v>
      </c>
      <c r="P36" s="78">
        <v>1284</v>
      </c>
      <c r="Q36" s="78">
        <f t="shared" si="1"/>
        <v>0</v>
      </c>
      <c r="R36" s="40">
        <v>2</v>
      </c>
      <c r="S36" s="21" t="s">
        <v>201</v>
      </c>
      <c r="T36" s="36" t="s">
        <v>338</v>
      </c>
    </row>
    <row r="37" spans="1:20" ht="52.5" hidden="1" customHeight="1">
      <c r="A37" s="12">
        <v>32</v>
      </c>
      <c r="B37" s="10" t="s">
        <v>207</v>
      </c>
      <c r="C37" s="14" t="s">
        <v>206</v>
      </c>
      <c r="D37" s="6">
        <v>2</v>
      </c>
      <c r="E37" s="8" t="s">
        <v>144</v>
      </c>
      <c r="F37" s="8">
        <v>3</v>
      </c>
      <c r="G37" s="66" t="s">
        <v>399</v>
      </c>
      <c r="H37" s="5"/>
      <c r="I37" s="28" t="s">
        <v>184</v>
      </c>
      <c r="J37" s="42">
        <v>0</v>
      </c>
      <c r="K37" s="47">
        <v>0</v>
      </c>
      <c r="L37" s="43">
        <f>'Dados Detalhados'!$L$419</f>
        <v>7000</v>
      </c>
      <c r="M37" s="43">
        <v>0</v>
      </c>
      <c r="N37" s="43">
        <v>0</v>
      </c>
      <c r="O37" s="78">
        <f t="shared" si="0"/>
        <v>7000</v>
      </c>
      <c r="P37" s="78">
        <v>0</v>
      </c>
      <c r="Q37" s="78">
        <f t="shared" si="1"/>
        <v>0</v>
      </c>
      <c r="R37" s="40">
        <v>3</v>
      </c>
      <c r="S37" s="21" t="s">
        <v>201</v>
      </c>
      <c r="T37" s="36" t="s">
        <v>338</v>
      </c>
    </row>
    <row r="38" spans="1:20" ht="52.5" hidden="1" customHeight="1">
      <c r="A38" s="12">
        <v>33</v>
      </c>
      <c r="B38" s="10" t="s">
        <v>205</v>
      </c>
      <c r="C38" s="14" t="s">
        <v>204</v>
      </c>
      <c r="D38" s="6">
        <v>2</v>
      </c>
      <c r="E38" s="8" t="s">
        <v>144</v>
      </c>
      <c r="F38" s="8">
        <v>3</v>
      </c>
      <c r="G38" s="66" t="s">
        <v>399</v>
      </c>
      <c r="H38" s="5"/>
      <c r="I38" s="28" t="s">
        <v>184</v>
      </c>
      <c r="J38" s="42"/>
      <c r="K38" s="47">
        <v>0</v>
      </c>
      <c r="L38" s="43">
        <f>'Dados Detalhados'!$L$421</f>
        <v>5100</v>
      </c>
      <c r="M38" s="43"/>
      <c r="N38" s="43">
        <f>'Dados Detalhados'!$L$421</f>
        <v>5100</v>
      </c>
      <c r="O38" s="78">
        <f t="shared" si="0"/>
        <v>10200</v>
      </c>
      <c r="P38" s="78">
        <v>5100</v>
      </c>
      <c r="Q38" s="78">
        <f t="shared" si="1"/>
        <v>0</v>
      </c>
      <c r="R38" s="40">
        <v>3</v>
      </c>
      <c r="S38" s="21" t="s">
        <v>201</v>
      </c>
      <c r="T38" s="36" t="s">
        <v>338</v>
      </c>
    </row>
    <row r="39" spans="1:20" ht="52.5" hidden="1" customHeight="1">
      <c r="A39" s="12">
        <v>34</v>
      </c>
      <c r="B39" s="10" t="s">
        <v>203</v>
      </c>
      <c r="C39" s="14" t="s">
        <v>202</v>
      </c>
      <c r="D39" s="6">
        <v>2</v>
      </c>
      <c r="E39" s="8" t="s">
        <v>144</v>
      </c>
      <c r="F39" s="8">
        <v>3</v>
      </c>
      <c r="G39" s="66" t="s">
        <v>399</v>
      </c>
      <c r="H39" s="5"/>
      <c r="I39" s="28" t="s">
        <v>184</v>
      </c>
      <c r="J39" s="42"/>
      <c r="K39" s="47"/>
      <c r="L39" s="43">
        <f>'Dados Detalhados'!$L$423</f>
        <v>700</v>
      </c>
      <c r="M39" s="43">
        <f>'Dados Detalhados'!$L$423</f>
        <v>700</v>
      </c>
      <c r="N39" s="43">
        <f>'Dados Detalhados'!$L$423</f>
        <v>700</v>
      </c>
      <c r="O39" s="78">
        <f t="shared" si="0"/>
        <v>2100</v>
      </c>
      <c r="P39" s="78">
        <v>700</v>
      </c>
      <c r="Q39" s="78">
        <f t="shared" si="1"/>
        <v>0</v>
      </c>
      <c r="R39" s="40">
        <v>3</v>
      </c>
      <c r="S39" s="21" t="s">
        <v>201</v>
      </c>
      <c r="T39" s="36" t="s">
        <v>338</v>
      </c>
    </row>
    <row r="40" spans="1:20" ht="67.5" hidden="1" customHeight="1">
      <c r="A40" s="12">
        <v>35</v>
      </c>
      <c r="B40" s="10" t="s">
        <v>200</v>
      </c>
      <c r="C40" s="14" t="s">
        <v>199</v>
      </c>
      <c r="D40" s="6"/>
      <c r="E40" s="8" t="s">
        <v>144</v>
      </c>
      <c r="F40" s="8">
        <v>1</v>
      </c>
      <c r="G40" s="66" t="s">
        <v>398</v>
      </c>
      <c r="H40" s="5"/>
      <c r="I40" s="7" t="s">
        <v>184</v>
      </c>
      <c r="J40" s="42">
        <f>'Dados Detalhados'!$L$425</f>
        <v>28333.4</v>
      </c>
      <c r="K40" s="47">
        <v>0</v>
      </c>
      <c r="L40" s="43">
        <v>0</v>
      </c>
      <c r="M40" s="43">
        <v>0</v>
      </c>
      <c r="N40" s="43">
        <v>0</v>
      </c>
      <c r="O40" s="78">
        <f t="shared" si="0"/>
        <v>28333.4</v>
      </c>
      <c r="P40" s="78">
        <v>0</v>
      </c>
      <c r="Q40" s="78">
        <f t="shared" si="1"/>
        <v>0</v>
      </c>
      <c r="R40" s="40">
        <v>2</v>
      </c>
      <c r="S40" s="21" t="s">
        <v>201</v>
      </c>
      <c r="T40" s="36" t="s">
        <v>338</v>
      </c>
    </row>
    <row r="41" spans="1:20" ht="52.5" hidden="1" customHeight="1">
      <c r="A41" s="12">
        <v>36</v>
      </c>
      <c r="B41" s="10" t="s">
        <v>198</v>
      </c>
      <c r="C41" s="14" t="s">
        <v>197</v>
      </c>
      <c r="D41" s="6">
        <v>3</v>
      </c>
      <c r="E41" s="8" t="s">
        <v>144</v>
      </c>
      <c r="F41" s="8">
        <v>1</v>
      </c>
      <c r="G41" s="66" t="s">
        <v>397</v>
      </c>
      <c r="H41" s="5"/>
      <c r="I41" s="28" t="s">
        <v>184</v>
      </c>
      <c r="J41" s="42">
        <v>0</v>
      </c>
      <c r="K41" s="47">
        <v>0</v>
      </c>
      <c r="L41" s="43">
        <f>'Dados Detalhados'!$L$428</f>
        <v>16825</v>
      </c>
      <c r="M41" s="43">
        <v>0</v>
      </c>
      <c r="N41" s="43">
        <v>0</v>
      </c>
      <c r="O41" s="78">
        <f t="shared" si="0"/>
        <v>16825</v>
      </c>
      <c r="P41" s="78">
        <v>0</v>
      </c>
      <c r="Q41" s="78">
        <f t="shared" si="1"/>
        <v>0</v>
      </c>
      <c r="R41" s="40">
        <v>1</v>
      </c>
      <c r="S41" s="21" t="s">
        <v>198</v>
      </c>
      <c r="T41" s="36" t="s">
        <v>338</v>
      </c>
    </row>
    <row r="42" spans="1:20" ht="52.5" hidden="1" customHeight="1">
      <c r="A42" s="12">
        <v>37</v>
      </c>
      <c r="B42" s="27" t="s">
        <v>196</v>
      </c>
      <c r="C42" s="14" t="s">
        <v>195</v>
      </c>
      <c r="D42" s="6">
        <v>1</v>
      </c>
      <c r="E42" s="8" t="s">
        <v>144</v>
      </c>
      <c r="F42" s="8">
        <v>2</v>
      </c>
      <c r="G42" s="66" t="s">
        <v>397</v>
      </c>
      <c r="H42" s="5" t="s">
        <v>328</v>
      </c>
      <c r="I42" s="28" t="s">
        <v>184</v>
      </c>
      <c r="J42" s="42">
        <f>'Dados Detalhados'!$L$433</f>
        <v>2313.6899999999996</v>
      </c>
      <c r="K42" s="42">
        <f>'Dados Detalhados'!$L$433</f>
        <v>2313.6899999999996</v>
      </c>
      <c r="L42" s="42">
        <f>'Dados Detalhados'!$L$433</f>
        <v>2313.6899999999996</v>
      </c>
      <c r="M42" s="42">
        <f>'Dados Detalhados'!$L$433</f>
        <v>2313.6899999999996</v>
      </c>
      <c r="N42" s="42">
        <f>'Dados Detalhados'!$L$433</f>
        <v>2313.6899999999996</v>
      </c>
      <c r="O42" s="78">
        <f t="shared" si="0"/>
        <v>11568.449999999997</v>
      </c>
      <c r="P42" s="78">
        <v>2313.6899999999996</v>
      </c>
      <c r="Q42" s="78">
        <f t="shared" si="1"/>
        <v>0</v>
      </c>
      <c r="R42" s="40">
        <v>1</v>
      </c>
      <c r="S42" s="21" t="s">
        <v>196</v>
      </c>
      <c r="T42" s="36" t="s">
        <v>338</v>
      </c>
    </row>
    <row r="43" spans="1:20" ht="52.5" hidden="1" customHeight="1">
      <c r="A43" s="12">
        <v>38</v>
      </c>
      <c r="B43" s="10" t="s">
        <v>194</v>
      </c>
      <c r="C43" s="14" t="s">
        <v>193</v>
      </c>
      <c r="D43" s="6">
        <v>1</v>
      </c>
      <c r="E43" s="8" t="s">
        <v>144</v>
      </c>
      <c r="F43" s="8">
        <v>1</v>
      </c>
      <c r="G43" s="66" t="s">
        <v>398</v>
      </c>
      <c r="H43" s="5"/>
      <c r="I43" s="7" t="s">
        <v>184</v>
      </c>
      <c r="J43" s="42">
        <f>'Dados Detalhados'!$L$450</f>
        <v>1713.6</v>
      </c>
      <c r="K43" s="42">
        <f>'Dados Detalhados'!$L$450</f>
        <v>1713.6</v>
      </c>
      <c r="L43" s="42">
        <f>'Dados Detalhados'!$L$450</f>
        <v>1713.6</v>
      </c>
      <c r="M43" s="42">
        <f>'Dados Detalhados'!$L$450</f>
        <v>1713.6</v>
      </c>
      <c r="N43" s="42">
        <f>'Dados Detalhados'!$L$450</f>
        <v>1713.6</v>
      </c>
      <c r="O43" s="78">
        <f t="shared" si="0"/>
        <v>8568</v>
      </c>
      <c r="P43" s="78">
        <v>1713.6</v>
      </c>
      <c r="Q43" s="78">
        <f t="shared" si="1"/>
        <v>0</v>
      </c>
      <c r="R43" s="40">
        <v>2</v>
      </c>
      <c r="S43" s="21" t="s">
        <v>194</v>
      </c>
      <c r="T43" s="36" t="s">
        <v>338</v>
      </c>
    </row>
    <row r="44" spans="1:20" ht="52.5" hidden="1" customHeight="1">
      <c r="A44" s="12">
        <v>39</v>
      </c>
      <c r="B44" s="10" t="s">
        <v>192</v>
      </c>
      <c r="C44" s="14" t="s">
        <v>191</v>
      </c>
      <c r="D44" s="6">
        <v>1</v>
      </c>
      <c r="E44" s="8" t="s">
        <v>144</v>
      </c>
      <c r="F44" s="8">
        <v>3</v>
      </c>
      <c r="G44" s="66" t="s">
        <v>398</v>
      </c>
      <c r="H44" s="5"/>
      <c r="I44" s="7" t="s">
        <v>184</v>
      </c>
      <c r="J44" s="42">
        <f>'Dados Detalhados'!$L$453</f>
        <v>400</v>
      </c>
      <c r="K44" s="42">
        <f>'Dados Detalhados'!$L$453</f>
        <v>400</v>
      </c>
      <c r="L44" s="42">
        <f>'Dados Detalhados'!$L$453</f>
        <v>400</v>
      </c>
      <c r="M44" s="42">
        <f>'Dados Detalhados'!$L$453</f>
        <v>400</v>
      </c>
      <c r="N44" s="42">
        <f>'Dados Detalhados'!$L$453</f>
        <v>400</v>
      </c>
      <c r="O44" s="78">
        <f t="shared" si="0"/>
        <v>2000</v>
      </c>
      <c r="P44" s="78">
        <v>400</v>
      </c>
      <c r="Q44" s="78">
        <f t="shared" si="1"/>
        <v>0</v>
      </c>
      <c r="R44" s="40">
        <v>2</v>
      </c>
      <c r="S44" s="21" t="s">
        <v>192</v>
      </c>
      <c r="T44" s="36" t="s">
        <v>338</v>
      </c>
    </row>
    <row r="45" spans="1:20" ht="52.5" hidden="1" customHeight="1">
      <c r="A45" s="12">
        <v>40</v>
      </c>
      <c r="B45" s="60" t="s">
        <v>190</v>
      </c>
      <c r="C45" s="60" t="s">
        <v>189</v>
      </c>
      <c r="D45" s="6">
        <v>1</v>
      </c>
      <c r="E45" s="8" t="s">
        <v>144</v>
      </c>
      <c r="F45" s="8">
        <v>1</v>
      </c>
      <c r="G45" s="66" t="s">
        <v>398</v>
      </c>
      <c r="H45" s="5"/>
      <c r="I45" s="7" t="s">
        <v>184</v>
      </c>
      <c r="J45" s="42">
        <v>0</v>
      </c>
      <c r="K45" s="47">
        <v>0</v>
      </c>
      <c r="L45" s="43">
        <f>'Dados Detalhados'!$L$455</f>
        <v>16084</v>
      </c>
      <c r="M45" s="43">
        <v>0</v>
      </c>
      <c r="N45" s="43">
        <v>0</v>
      </c>
      <c r="O45" s="78">
        <f t="shared" si="0"/>
        <v>16084</v>
      </c>
      <c r="P45" s="78">
        <v>0</v>
      </c>
      <c r="Q45" s="78">
        <f t="shared" si="1"/>
        <v>0</v>
      </c>
      <c r="R45" s="40">
        <v>3</v>
      </c>
      <c r="S45" s="21" t="s">
        <v>190</v>
      </c>
      <c r="T45" s="36" t="s">
        <v>338</v>
      </c>
    </row>
    <row r="46" spans="1:20" ht="52.5" hidden="1" customHeight="1">
      <c r="A46" s="12">
        <v>41</v>
      </c>
      <c r="B46" s="60" t="s">
        <v>188</v>
      </c>
      <c r="C46" s="60" t="s">
        <v>187</v>
      </c>
      <c r="D46" s="6">
        <v>1</v>
      </c>
      <c r="E46" s="8" t="s">
        <v>144</v>
      </c>
      <c r="F46" s="8">
        <v>1</v>
      </c>
      <c r="G46" s="66" t="s">
        <v>398</v>
      </c>
      <c r="H46" s="5"/>
      <c r="I46" s="7" t="s">
        <v>184</v>
      </c>
      <c r="J46" s="42">
        <v>0</v>
      </c>
      <c r="K46" s="47">
        <v>0</v>
      </c>
      <c r="L46" s="43">
        <f>'Dados Detalhados'!$L$457</f>
        <v>5748.5</v>
      </c>
      <c r="M46" s="43">
        <v>0</v>
      </c>
      <c r="N46" s="43">
        <v>5748.5</v>
      </c>
      <c r="O46" s="78">
        <f t="shared" si="0"/>
        <v>11497</v>
      </c>
      <c r="P46" s="78">
        <v>5748.5</v>
      </c>
      <c r="Q46" s="78">
        <f t="shared" si="1"/>
        <v>0</v>
      </c>
      <c r="R46" s="40">
        <v>3</v>
      </c>
      <c r="S46" s="21" t="s">
        <v>188</v>
      </c>
      <c r="T46" s="36" t="s">
        <v>337</v>
      </c>
    </row>
    <row r="47" spans="1:20" ht="52.5" hidden="1" customHeight="1">
      <c r="A47" s="12">
        <v>42</v>
      </c>
      <c r="B47" s="10" t="s">
        <v>186</v>
      </c>
      <c r="C47" s="14" t="s">
        <v>185</v>
      </c>
      <c r="D47" s="6">
        <v>3</v>
      </c>
      <c r="E47" s="8" t="s">
        <v>144</v>
      </c>
      <c r="F47" s="8">
        <v>1</v>
      </c>
      <c r="G47" s="66" t="s">
        <v>397</v>
      </c>
      <c r="H47" s="5"/>
      <c r="I47" s="28" t="s">
        <v>184</v>
      </c>
      <c r="J47" s="42">
        <v>0</v>
      </c>
      <c r="K47" s="47">
        <v>0</v>
      </c>
      <c r="L47" s="43">
        <f>'Dados Detalhados'!$L$475</f>
        <v>4411.3900000000003</v>
      </c>
      <c r="M47" s="43">
        <v>0</v>
      </c>
      <c r="N47" s="43">
        <v>0</v>
      </c>
      <c r="O47" s="78">
        <f t="shared" si="0"/>
        <v>4411.3900000000003</v>
      </c>
      <c r="P47" s="78">
        <v>0</v>
      </c>
      <c r="Q47" s="78">
        <f t="shared" si="1"/>
        <v>0</v>
      </c>
      <c r="R47" s="40">
        <v>1</v>
      </c>
      <c r="S47" s="21" t="s">
        <v>186</v>
      </c>
      <c r="T47" s="36" t="s">
        <v>337</v>
      </c>
    </row>
    <row r="48" spans="1:20" s="156" customFormat="1" ht="52.5" hidden="1" customHeight="1">
      <c r="A48" s="150">
        <v>43</v>
      </c>
      <c r="B48" s="11" t="s">
        <v>183</v>
      </c>
      <c r="C48" s="11" t="s">
        <v>182</v>
      </c>
      <c r="D48" s="151">
        <v>1</v>
      </c>
      <c r="E48" s="33" t="s">
        <v>389</v>
      </c>
      <c r="F48" s="33">
        <v>2</v>
      </c>
      <c r="G48" s="66" t="s">
        <v>400</v>
      </c>
      <c r="H48" s="153" t="s">
        <v>327</v>
      </c>
      <c r="I48" s="50" t="s">
        <v>165</v>
      </c>
      <c r="J48" s="43">
        <f>'Dados Detalhados'!$L$491</f>
        <v>8700</v>
      </c>
      <c r="K48" s="43">
        <f>'Dados Detalhados'!$L$491</f>
        <v>8700</v>
      </c>
      <c r="L48" s="43"/>
      <c r="M48" s="43"/>
      <c r="N48" s="43"/>
      <c r="O48" s="78">
        <f t="shared" si="0"/>
        <v>17400</v>
      </c>
      <c r="P48" s="152"/>
      <c r="Q48" s="78">
        <f t="shared" si="1"/>
        <v>0</v>
      </c>
      <c r="R48" s="154">
        <v>1</v>
      </c>
      <c r="S48" s="21" t="s">
        <v>183</v>
      </c>
      <c r="T48" s="155" t="s">
        <v>339</v>
      </c>
    </row>
    <row r="49" spans="1:20" ht="52.5" hidden="1" customHeight="1">
      <c r="A49" s="12">
        <v>44</v>
      </c>
      <c r="B49" s="10" t="s">
        <v>180</v>
      </c>
      <c r="C49" s="14" t="s">
        <v>181</v>
      </c>
      <c r="D49" s="6">
        <v>1</v>
      </c>
      <c r="E49" s="8" t="s">
        <v>389</v>
      </c>
      <c r="F49" s="8">
        <v>2</v>
      </c>
      <c r="G49" s="66" t="s">
        <v>400</v>
      </c>
      <c r="H49" s="5" t="s">
        <v>326</v>
      </c>
      <c r="I49" s="28" t="s">
        <v>165</v>
      </c>
      <c r="J49" s="42">
        <v>0</v>
      </c>
      <c r="K49" s="47">
        <f>'Dados Detalhados'!$L$494</f>
        <v>3356.39</v>
      </c>
      <c r="L49" s="43">
        <v>0</v>
      </c>
      <c r="M49" s="43">
        <v>0</v>
      </c>
      <c r="N49" s="43">
        <v>0</v>
      </c>
      <c r="O49" s="78">
        <f t="shared" si="0"/>
        <v>3356.39</v>
      </c>
      <c r="P49" s="78">
        <v>0</v>
      </c>
      <c r="Q49" s="78">
        <f t="shared" si="1"/>
        <v>0</v>
      </c>
      <c r="R49" s="40">
        <v>1</v>
      </c>
      <c r="S49" s="21" t="s">
        <v>180</v>
      </c>
      <c r="T49" s="36" t="s">
        <v>339</v>
      </c>
    </row>
    <row r="50" spans="1:20" ht="52.5" hidden="1" customHeight="1">
      <c r="A50" s="12">
        <v>45</v>
      </c>
      <c r="B50" s="10" t="s">
        <v>179</v>
      </c>
      <c r="C50" s="14" t="s">
        <v>178</v>
      </c>
      <c r="D50" s="6">
        <v>1</v>
      </c>
      <c r="E50" s="8" t="s">
        <v>389</v>
      </c>
      <c r="F50" s="8">
        <v>2</v>
      </c>
      <c r="G50" s="66" t="s">
        <v>400</v>
      </c>
      <c r="H50" s="5"/>
      <c r="I50" s="28" t="s">
        <v>165</v>
      </c>
      <c r="J50" s="42">
        <v>0</v>
      </c>
      <c r="K50" s="47">
        <v>0</v>
      </c>
      <c r="L50" s="43"/>
      <c r="M50" s="43">
        <f>'Dados Detalhados'!$L$504</f>
        <v>3356.39</v>
      </c>
      <c r="N50" s="43">
        <v>0</v>
      </c>
      <c r="O50" s="78">
        <f t="shared" si="0"/>
        <v>3356.39</v>
      </c>
      <c r="P50" s="78">
        <v>0</v>
      </c>
      <c r="Q50" s="78">
        <f t="shared" si="1"/>
        <v>0</v>
      </c>
      <c r="R50" s="40">
        <v>1</v>
      </c>
      <c r="S50" s="21" t="s">
        <v>180</v>
      </c>
      <c r="T50" s="36" t="s">
        <v>339</v>
      </c>
    </row>
    <row r="51" spans="1:20" ht="52.5" hidden="1" customHeight="1">
      <c r="A51" s="12">
        <v>46</v>
      </c>
      <c r="B51" s="10" t="s">
        <v>177</v>
      </c>
      <c r="C51" s="14" t="s">
        <v>176</v>
      </c>
      <c r="D51" s="6"/>
      <c r="E51" s="8" t="s">
        <v>389</v>
      </c>
      <c r="F51" s="8">
        <v>2</v>
      </c>
      <c r="G51" s="66" t="s">
        <v>400</v>
      </c>
      <c r="H51" s="5"/>
      <c r="I51" s="28" t="s">
        <v>165</v>
      </c>
      <c r="J51" s="42">
        <f>'Dados Detalhados'!$L$514</f>
        <v>0</v>
      </c>
      <c r="K51" s="42">
        <f>'Dados Detalhados'!$L$514</f>
        <v>0</v>
      </c>
      <c r="L51" s="42">
        <f>'Dados Detalhados'!$L$514</f>
        <v>0</v>
      </c>
      <c r="M51" s="42">
        <f>'Dados Detalhados'!$L$514</f>
        <v>0</v>
      </c>
      <c r="N51" s="42">
        <f>'Dados Detalhados'!$L$514</f>
        <v>0</v>
      </c>
      <c r="O51" s="78">
        <f t="shared" si="0"/>
        <v>0</v>
      </c>
      <c r="P51" s="78">
        <v>0</v>
      </c>
      <c r="Q51" s="78">
        <f t="shared" si="1"/>
        <v>0</v>
      </c>
      <c r="R51" s="40">
        <v>1</v>
      </c>
      <c r="S51" s="21" t="s">
        <v>177</v>
      </c>
      <c r="T51" s="36" t="s">
        <v>339</v>
      </c>
    </row>
    <row r="52" spans="1:20" ht="52.5" hidden="1" customHeight="1">
      <c r="A52" s="12">
        <v>47</v>
      </c>
      <c r="B52" s="10" t="s">
        <v>175</v>
      </c>
      <c r="C52" s="14" t="s">
        <v>174</v>
      </c>
      <c r="D52" s="6">
        <v>2</v>
      </c>
      <c r="E52" s="8" t="s">
        <v>389</v>
      </c>
      <c r="F52" s="8">
        <v>2</v>
      </c>
      <c r="G52" s="66" t="s">
        <v>400</v>
      </c>
      <c r="H52" s="5" t="s">
        <v>325</v>
      </c>
      <c r="I52" s="28" t="s">
        <v>165</v>
      </c>
      <c r="J52" s="42">
        <v>0</v>
      </c>
      <c r="K52" s="47">
        <f>'Dados Detalhados'!$L$517</f>
        <v>1100</v>
      </c>
      <c r="L52" s="43">
        <v>0</v>
      </c>
      <c r="M52" s="43">
        <v>0</v>
      </c>
      <c r="N52" s="43">
        <v>0</v>
      </c>
      <c r="O52" s="78">
        <f t="shared" si="0"/>
        <v>1100</v>
      </c>
      <c r="P52" s="78">
        <v>0</v>
      </c>
      <c r="Q52" s="78">
        <f t="shared" si="1"/>
        <v>0</v>
      </c>
      <c r="R52" s="40">
        <v>1</v>
      </c>
      <c r="S52" s="21" t="s">
        <v>175</v>
      </c>
      <c r="T52" s="36" t="s">
        <v>339</v>
      </c>
    </row>
    <row r="53" spans="1:20" ht="52.5" hidden="1" customHeight="1">
      <c r="A53" s="12">
        <v>48</v>
      </c>
      <c r="B53" s="10" t="s">
        <v>173</v>
      </c>
      <c r="C53" s="14" t="s">
        <v>172</v>
      </c>
      <c r="D53" s="6">
        <v>3</v>
      </c>
      <c r="E53" s="8" t="s">
        <v>389</v>
      </c>
      <c r="F53" s="8">
        <v>2</v>
      </c>
      <c r="G53" s="66" t="s">
        <v>400</v>
      </c>
      <c r="H53" s="5" t="s">
        <v>324</v>
      </c>
      <c r="I53" s="28" t="s">
        <v>165</v>
      </c>
      <c r="J53" s="42">
        <f>'Dados Detalhados'!$L$520</f>
        <v>1593.33</v>
      </c>
      <c r="K53" s="42">
        <f>'Dados Detalhados'!$L$520</f>
        <v>1593.33</v>
      </c>
      <c r="L53" s="42">
        <f>'Dados Detalhados'!$L$520</f>
        <v>1593.33</v>
      </c>
      <c r="M53" s="42">
        <f>'Dados Detalhados'!$L$520</f>
        <v>1593.33</v>
      </c>
      <c r="N53" s="42">
        <f>'Dados Detalhados'!$L$520</f>
        <v>1593.33</v>
      </c>
      <c r="O53" s="78">
        <f t="shared" si="0"/>
        <v>7966.65</v>
      </c>
      <c r="P53" s="78">
        <v>1593.33</v>
      </c>
      <c r="Q53" s="78">
        <f t="shared" si="1"/>
        <v>0</v>
      </c>
      <c r="R53" s="40">
        <v>1</v>
      </c>
      <c r="S53" s="21" t="s">
        <v>173</v>
      </c>
      <c r="T53" s="36" t="s">
        <v>339</v>
      </c>
    </row>
    <row r="54" spans="1:20" ht="52.5" hidden="1" customHeight="1">
      <c r="A54" s="12">
        <v>49</v>
      </c>
      <c r="B54" s="10" t="s">
        <v>171</v>
      </c>
      <c r="C54" s="14" t="s">
        <v>170</v>
      </c>
      <c r="D54" s="6">
        <v>1</v>
      </c>
      <c r="E54" s="8" t="s">
        <v>389</v>
      </c>
      <c r="F54" s="8">
        <v>2</v>
      </c>
      <c r="G54" s="66" t="s">
        <v>400</v>
      </c>
      <c r="H54" s="5" t="s">
        <v>323</v>
      </c>
      <c r="I54" s="28" t="s">
        <v>165</v>
      </c>
      <c r="J54" s="42">
        <v>0</v>
      </c>
      <c r="K54" s="47">
        <v>0</v>
      </c>
      <c r="L54" s="43"/>
      <c r="M54" s="43">
        <f>'Dados Detalhados'!$L$527</f>
        <v>20261.940000000002</v>
      </c>
      <c r="N54" s="43">
        <v>0</v>
      </c>
      <c r="O54" s="78">
        <f t="shared" si="0"/>
        <v>20261.940000000002</v>
      </c>
      <c r="P54" s="78">
        <v>0</v>
      </c>
      <c r="Q54" s="78">
        <f t="shared" si="1"/>
        <v>0</v>
      </c>
      <c r="R54" s="40">
        <v>1</v>
      </c>
      <c r="S54" s="21" t="s">
        <v>171</v>
      </c>
      <c r="T54" s="36" t="s">
        <v>339</v>
      </c>
    </row>
    <row r="55" spans="1:20" ht="52.5" hidden="1" customHeight="1">
      <c r="A55" s="12">
        <v>50</v>
      </c>
      <c r="B55" s="10" t="s">
        <v>169</v>
      </c>
      <c r="C55" s="14" t="s">
        <v>168</v>
      </c>
      <c r="D55" s="6">
        <v>3</v>
      </c>
      <c r="E55" s="8" t="s">
        <v>389</v>
      </c>
      <c r="F55" s="8">
        <v>2</v>
      </c>
      <c r="G55" s="66" t="s">
        <v>400</v>
      </c>
      <c r="H55" s="5" t="s">
        <v>322</v>
      </c>
      <c r="I55" s="28" t="s">
        <v>165</v>
      </c>
      <c r="J55" s="42">
        <v>0</v>
      </c>
      <c r="K55" s="47">
        <f>'Dados Detalhados'!$L$539</f>
        <v>3141.11</v>
      </c>
      <c r="L55" s="47">
        <f>'Dados Detalhados'!$L$539</f>
        <v>3141.11</v>
      </c>
      <c r="M55" s="47"/>
      <c r="N55" s="47">
        <f>'Dados Detalhados'!$L$539</f>
        <v>3141.11</v>
      </c>
      <c r="O55" s="78">
        <f t="shared" si="0"/>
        <v>9423.33</v>
      </c>
      <c r="P55" s="78">
        <v>3141.11</v>
      </c>
      <c r="Q55" s="78">
        <f t="shared" si="1"/>
        <v>0</v>
      </c>
      <c r="R55" s="40">
        <v>1</v>
      </c>
      <c r="S55" s="21" t="s">
        <v>169</v>
      </c>
      <c r="T55" s="36" t="s">
        <v>339</v>
      </c>
    </row>
    <row r="56" spans="1:20" ht="52.5" hidden="1" customHeight="1">
      <c r="A56" s="12">
        <v>51</v>
      </c>
      <c r="B56" s="10" t="s">
        <v>167</v>
      </c>
      <c r="C56" s="14" t="s">
        <v>166</v>
      </c>
      <c r="D56" s="6">
        <v>3</v>
      </c>
      <c r="E56" s="8" t="s">
        <v>389</v>
      </c>
      <c r="F56" s="8">
        <v>2</v>
      </c>
      <c r="G56" s="66" t="s">
        <v>400</v>
      </c>
      <c r="H56" s="5" t="s">
        <v>321</v>
      </c>
      <c r="I56" s="28" t="s">
        <v>165</v>
      </c>
      <c r="J56" s="42">
        <v>0</v>
      </c>
      <c r="K56" s="47">
        <f>'Dados Detalhados'!$L$551</f>
        <v>374.67</v>
      </c>
      <c r="L56" s="47">
        <f>'Dados Detalhados'!$L$551</f>
        <v>374.67</v>
      </c>
      <c r="M56" s="47">
        <f>'Dados Detalhados'!$L$551</f>
        <v>374.67</v>
      </c>
      <c r="N56" s="47">
        <f>'Dados Detalhados'!$L$551</f>
        <v>374.67</v>
      </c>
      <c r="O56" s="78">
        <f t="shared" si="0"/>
        <v>1498.68</v>
      </c>
      <c r="P56" s="78">
        <v>374.67</v>
      </c>
      <c r="Q56" s="78">
        <f t="shared" si="1"/>
        <v>0</v>
      </c>
      <c r="R56" s="40">
        <v>1</v>
      </c>
      <c r="S56" s="21" t="s">
        <v>167</v>
      </c>
      <c r="T56" s="36" t="s">
        <v>339</v>
      </c>
    </row>
    <row r="57" spans="1:20" ht="52.5" hidden="1" customHeight="1">
      <c r="A57" s="12">
        <v>52</v>
      </c>
      <c r="B57" s="10" t="s">
        <v>164</v>
      </c>
      <c r="C57" s="14" t="s">
        <v>163</v>
      </c>
      <c r="D57" s="6">
        <v>1</v>
      </c>
      <c r="E57" s="8" t="s">
        <v>390</v>
      </c>
      <c r="F57" s="8">
        <v>3</v>
      </c>
      <c r="G57" s="66" t="s">
        <v>403</v>
      </c>
      <c r="H57" s="5" t="s">
        <v>320</v>
      </c>
      <c r="I57" s="28" t="s">
        <v>143</v>
      </c>
      <c r="J57" s="42">
        <f>'Dados Detalhados'!$L$556</f>
        <v>3722.2200000000003</v>
      </c>
      <c r="K57" s="42">
        <f>'Dados Detalhados'!$L$556</f>
        <v>3722.2200000000003</v>
      </c>
      <c r="L57" s="42">
        <f>'Dados Detalhados'!$L$556</f>
        <v>3722.2200000000003</v>
      </c>
      <c r="M57" s="42">
        <f>'Dados Detalhados'!$L$556</f>
        <v>3722.2200000000003</v>
      </c>
      <c r="N57" s="42">
        <f>'Dados Detalhados'!$L$556</f>
        <v>3722.2200000000003</v>
      </c>
      <c r="O57" s="78">
        <f t="shared" si="0"/>
        <v>18611.100000000002</v>
      </c>
      <c r="P57" s="78">
        <v>3722.2200000000003</v>
      </c>
      <c r="Q57" s="78">
        <f t="shared" si="1"/>
        <v>0</v>
      </c>
      <c r="R57" s="41">
        <v>3</v>
      </c>
      <c r="S57" s="11" t="s">
        <v>164</v>
      </c>
      <c r="T57" s="49" t="s">
        <v>387</v>
      </c>
    </row>
    <row r="58" spans="1:20" ht="52.5" hidden="1" customHeight="1">
      <c r="A58" s="12">
        <v>53</v>
      </c>
      <c r="B58" s="10" t="s">
        <v>162</v>
      </c>
      <c r="C58" s="14" t="s">
        <v>161</v>
      </c>
      <c r="D58" s="6">
        <v>1</v>
      </c>
      <c r="E58" s="8" t="s">
        <v>390</v>
      </c>
      <c r="F58" s="8">
        <v>3</v>
      </c>
      <c r="G58" s="66" t="s">
        <v>403</v>
      </c>
      <c r="H58" s="5" t="s">
        <v>319</v>
      </c>
      <c r="I58" s="28" t="s">
        <v>143</v>
      </c>
      <c r="J58" s="42">
        <f>'Dados Detalhados'!$L$560</f>
        <v>3722.2200000000003</v>
      </c>
      <c r="K58" s="42">
        <f>'Dados Detalhados'!$L$560</f>
        <v>3722.2200000000003</v>
      </c>
      <c r="L58" s="42">
        <f>'Dados Detalhados'!$L$560</f>
        <v>3722.2200000000003</v>
      </c>
      <c r="M58" s="42">
        <f>'Dados Detalhados'!$L$560</f>
        <v>3722.2200000000003</v>
      </c>
      <c r="N58" s="42">
        <f>'Dados Detalhados'!$L$560</f>
        <v>3722.2200000000003</v>
      </c>
      <c r="O58" s="78">
        <f t="shared" si="0"/>
        <v>18611.100000000002</v>
      </c>
      <c r="P58" s="78">
        <v>3722.2200000000003</v>
      </c>
      <c r="Q58" s="78">
        <f t="shared" si="1"/>
        <v>0</v>
      </c>
      <c r="R58" s="41">
        <v>3</v>
      </c>
      <c r="S58" s="11" t="s">
        <v>162</v>
      </c>
      <c r="T58" s="49" t="s">
        <v>387</v>
      </c>
    </row>
    <row r="59" spans="1:20" ht="52.5" hidden="1" customHeight="1">
      <c r="A59" s="12">
        <v>54</v>
      </c>
      <c r="B59" s="10" t="s">
        <v>160</v>
      </c>
      <c r="C59" s="14" t="s">
        <v>867</v>
      </c>
      <c r="D59" s="6">
        <v>2</v>
      </c>
      <c r="E59" s="8" t="s">
        <v>389</v>
      </c>
      <c r="F59" s="8">
        <v>2</v>
      </c>
      <c r="G59" s="21" t="s">
        <v>866</v>
      </c>
      <c r="H59" s="5" t="s">
        <v>318</v>
      </c>
      <c r="I59" s="28" t="s">
        <v>143</v>
      </c>
      <c r="J59" s="42">
        <v>0</v>
      </c>
      <c r="K59" s="47">
        <f>'Dados Detalhados'!$L$564</f>
        <v>22000</v>
      </c>
      <c r="L59" s="47"/>
      <c r="M59" s="47">
        <f>'Dados Detalhados'!$L$564</f>
        <v>22000</v>
      </c>
      <c r="N59" s="43">
        <v>0</v>
      </c>
      <c r="O59" s="78">
        <f t="shared" si="0"/>
        <v>44000</v>
      </c>
      <c r="P59" s="78">
        <v>0</v>
      </c>
      <c r="Q59" s="78">
        <f t="shared" si="1"/>
        <v>0</v>
      </c>
      <c r="R59" s="41">
        <v>2</v>
      </c>
      <c r="S59" s="11" t="s">
        <v>160</v>
      </c>
      <c r="T59" s="36" t="s">
        <v>339</v>
      </c>
    </row>
    <row r="60" spans="1:20" ht="52.5" hidden="1" customHeight="1">
      <c r="A60" s="12" t="s">
        <v>870</v>
      </c>
      <c r="B60" s="10" t="s">
        <v>868</v>
      </c>
      <c r="C60" s="245" t="s">
        <v>871</v>
      </c>
      <c r="D60" s="6">
        <v>1</v>
      </c>
      <c r="E60" s="8" t="s">
        <v>389</v>
      </c>
      <c r="F60" s="8">
        <v>2</v>
      </c>
      <c r="G60" s="21" t="s">
        <v>866</v>
      </c>
      <c r="H60" s="5"/>
      <c r="I60" s="28"/>
      <c r="J60" s="42"/>
      <c r="K60" s="47"/>
      <c r="L60" s="43">
        <f>'Dados Detalhados'!$L$568</f>
        <v>11000</v>
      </c>
      <c r="M60" s="43"/>
      <c r="N60" s="43"/>
      <c r="O60" s="78">
        <f t="shared" si="0"/>
        <v>11000</v>
      </c>
      <c r="P60" s="78"/>
      <c r="Q60" s="78">
        <f t="shared" si="1"/>
        <v>0</v>
      </c>
      <c r="R60" s="41"/>
      <c r="S60" s="11"/>
      <c r="T60" s="36"/>
    </row>
    <row r="61" spans="1:20" ht="52.5" hidden="1" customHeight="1">
      <c r="A61" s="12">
        <v>54.2</v>
      </c>
      <c r="B61" s="10" t="s">
        <v>869</v>
      </c>
      <c r="C61" s="245" t="s">
        <v>872</v>
      </c>
      <c r="D61" s="6">
        <v>1</v>
      </c>
      <c r="E61" s="8" t="s">
        <v>389</v>
      </c>
      <c r="F61" s="8">
        <v>2</v>
      </c>
      <c r="G61" s="21" t="s">
        <v>866</v>
      </c>
      <c r="H61" s="5"/>
      <c r="I61" s="28"/>
      <c r="J61" s="42"/>
      <c r="K61" s="47"/>
      <c r="L61" s="43"/>
      <c r="M61" s="43">
        <f>'Dados Detalhados'!$L$571</f>
        <v>11000</v>
      </c>
      <c r="N61" s="43"/>
      <c r="O61" s="78">
        <f t="shared" si="0"/>
        <v>11000</v>
      </c>
      <c r="P61" s="78"/>
      <c r="Q61" s="78">
        <f t="shared" si="1"/>
        <v>0</v>
      </c>
      <c r="R61" s="41"/>
      <c r="S61" s="11"/>
      <c r="T61" s="36"/>
    </row>
    <row r="62" spans="1:20" ht="52.5" hidden="1" customHeight="1">
      <c r="A62" s="12">
        <v>55</v>
      </c>
      <c r="B62" s="10" t="s">
        <v>158</v>
      </c>
      <c r="C62" s="14" t="s">
        <v>157</v>
      </c>
      <c r="D62" s="6">
        <v>2</v>
      </c>
      <c r="E62" s="8" t="s">
        <v>144</v>
      </c>
      <c r="F62" s="8">
        <v>1</v>
      </c>
      <c r="G62" s="66" t="s">
        <v>397</v>
      </c>
      <c r="H62" s="5" t="s">
        <v>317</v>
      </c>
      <c r="I62" s="28" t="s">
        <v>143</v>
      </c>
      <c r="J62" s="42">
        <f>'Dados Detalhados'!$L$574</f>
        <v>92.829999999999984</v>
      </c>
      <c r="K62" s="42">
        <f>'Dados Detalhados'!$L$574</f>
        <v>92.829999999999984</v>
      </c>
      <c r="L62" s="42">
        <f>'Dados Detalhados'!$L$574</f>
        <v>92.829999999999984</v>
      </c>
      <c r="M62" s="42">
        <f>'Dados Detalhados'!$L$574</f>
        <v>92.829999999999984</v>
      </c>
      <c r="N62" s="42">
        <f>'Dados Detalhados'!$L$574</f>
        <v>92.829999999999984</v>
      </c>
      <c r="O62" s="78">
        <f t="shared" si="0"/>
        <v>464.14999999999992</v>
      </c>
      <c r="P62" s="78">
        <v>92.829999999999984</v>
      </c>
      <c r="Q62" s="78">
        <f t="shared" si="1"/>
        <v>0</v>
      </c>
      <c r="R62" s="40">
        <v>1</v>
      </c>
      <c r="S62" s="11" t="s">
        <v>158</v>
      </c>
      <c r="T62" s="36" t="s">
        <v>338</v>
      </c>
    </row>
    <row r="63" spans="1:20" ht="58.5" hidden="1" customHeight="1">
      <c r="A63" s="12">
        <v>56</v>
      </c>
      <c r="B63" s="10" t="s">
        <v>155</v>
      </c>
      <c r="C63" s="14" t="s">
        <v>156</v>
      </c>
      <c r="D63" s="6">
        <v>1</v>
      </c>
      <c r="E63" s="8" t="s">
        <v>390</v>
      </c>
      <c r="F63" s="8">
        <v>3</v>
      </c>
      <c r="G63" s="66" t="s">
        <v>404</v>
      </c>
      <c r="H63" s="5" t="s">
        <v>316</v>
      </c>
      <c r="I63" s="28" t="s">
        <v>143</v>
      </c>
      <c r="J63" s="42">
        <f>'Dados Detalhados'!$L$577</f>
        <v>19562.891999999996</v>
      </c>
      <c r="K63" s="47">
        <v>0</v>
      </c>
      <c r="L63" s="43">
        <v>0</v>
      </c>
      <c r="M63" s="43">
        <v>0</v>
      </c>
      <c r="N63" s="43">
        <v>0</v>
      </c>
      <c r="O63" s="78">
        <f t="shared" si="0"/>
        <v>19562.891999999996</v>
      </c>
      <c r="P63" s="78">
        <v>0</v>
      </c>
      <c r="Q63" s="78">
        <f t="shared" si="1"/>
        <v>0</v>
      </c>
      <c r="R63" s="37">
        <v>4</v>
      </c>
      <c r="S63" s="11" t="s">
        <v>155</v>
      </c>
      <c r="T63" s="49" t="s">
        <v>387</v>
      </c>
    </row>
    <row r="64" spans="1:20" ht="52.5" hidden="1" customHeight="1">
      <c r="A64" s="12">
        <v>57</v>
      </c>
      <c r="B64" s="10" t="s">
        <v>154</v>
      </c>
      <c r="C64" s="14" t="s">
        <v>153</v>
      </c>
      <c r="D64" s="6">
        <v>2</v>
      </c>
      <c r="E64" s="8" t="s">
        <v>390</v>
      </c>
      <c r="F64" s="8">
        <v>3</v>
      </c>
      <c r="G64" s="66" t="s">
        <v>404</v>
      </c>
      <c r="H64" s="5"/>
      <c r="I64" s="28" t="s">
        <v>143</v>
      </c>
      <c r="J64" s="42">
        <v>0</v>
      </c>
      <c r="K64" s="47">
        <v>0</v>
      </c>
      <c r="L64" s="43">
        <f>'Dados Detalhados'!$L$593</f>
        <v>19562.87</v>
      </c>
      <c r="M64" s="43">
        <v>0</v>
      </c>
      <c r="N64" s="43">
        <v>0</v>
      </c>
      <c r="O64" s="78">
        <f t="shared" si="0"/>
        <v>19562.87</v>
      </c>
      <c r="P64" s="78">
        <v>0</v>
      </c>
      <c r="Q64" s="78">
        <f t="shared" si="1"/>
        <v>0</v>
      </c>
      <c r="R64" s="37">
        <v>4</v>
      </c>
      <c r="S64" s="11" t="s">
        <v>155</v>
      </c>
      <c r="T64" s="49" t="s">
        <v>387</v>
      </c>
    </row>
    <row r="65" spans="1:20" ht="52.5" hidden="1" customHeight="1">
      <c r="A65" s="12">
        <v>58</v>
      </c>
      <c r="B65" s="10" t="s">
        <v>152</v>
      </c>
      <c r="C65" s="14" t="s">
        <v>151</v>
      </c>
      <c r="D65" s="6">
        <v>1</v>
      </c>
      <c r="E65" s="8" t="s">
        <v>390</v>
      </c>
      <c r="F65" s="8">
        <v>3</v>
      </c>
      <c r="G65" s="66" t="s">
        <v>403</v>
      </c>
      <c r="H65" s="5" t="s">
        <v>315</v>
      </c>
      <c r="I65" s="28" t="s">
        <v>143</v>
      </c>
      <c r="J65" s="42">
        <f>'Dados Detalhados'!$L$609</f>
        <v>18499.990000000002</v>
      </c>
      <c r="K65" s="42">
        <f>'Dados Detalhados'!$L$609</f>
        <v>18499.990000000002</v>
      </c>
      <c r="L65" s="42">
        <f>'Dados Detalhados'!$L$609</f>
        <v>18499.990000000002</v>
      </c>
      <c r="M65" s="42">
        <f>'Dados Detalhados'!$L$609</f>
        <v>18499.990000000002</v>
      </c>
      <c r="N65" s="42">
        <f>'Dados Detalhados'!$L$609</f>
        <v>18499.990000000002</v>
      </c>
      <c r="O65" s="78">
        <f t="shared" si="0"/>
        <v>92499.950000000012</v>
      </c>
      <c r="P65" s="78">
        <v>18499.990000000002</v>
      </c>
      <c r="Q65" s="78">
        <f t="shared" si="1"/>
        <v>0</v>
      </c>
      <c r="R65" s="40">
        <v>3</v>
      </c>
      <c r="S65" s="11" t="s">
        <v>152</v>
      </c>
      <c r="T65" s="49" t="s">
        <v>387</v>
      </c>
    </row>
    <row r="66" spans="1:20" ht="52.5" hidden="1" customHeight="1">
      <c r="A66" s="12">
        <v>59</v>
      </c>
      <c r="B66" s="10" t="s">
        <v>150</v>
      </c>
      <c r="C66" s="14" t="s">
        <v>149</v>
      </c>
      <c r="D66" s="6">
        <v>2</v>
      </c>
      <c r="E66" s="8" t="s">
        <v>390</v>
      </c>
      <c r="F66" s="8">
        <v>3</v>
      </c>
      <c r="G66" s="66" t="s">
        <v>403</v>
      </c>
      <c r="H66" s="5" t="s">
        <v>314</v>
      </c>
      <c r="I66" s="28" t="s">
        <v>143</v>
      </c>
      <c r="J66" s="42">
        <f>'Dados Detalhados'!$L$623</f>
        <v>11333.33</v>
      </c>
      <c r="K66" s="42">
        <f>'Dados Detalhados'!$L$623</f>
        <v>11333.33</v>
      </c>
      <c r="L66" s="42">
        <f>'Dados Detalhados'!$L$623</f>
        <v>11333.33</v>
      </c>
      <c r="M66" s="42">
        <f>'Dados Detalhados'!$L$623</f>
        <v>11333.33</v>
      </c>
      <c r="N66" s="42">
        <f>'Dados Detalhados'!$L$623</f>
        <v>11333.33</v>
      </c>
      <c r="O66" s="78">
        <f t="shared" si="0"/>
        <v>56666.65</v>
      </c>
      <c r="P66" s="78">
        <v>11333.33</v>
      </c>
      <c r="Q66" s="78">
        <f t="shared" si="1"/>
        <v>0</v>
      </c>
      <c r="R66" s="40">
        <v>3</v>
      </c>
      <c r="S66" s="11" t="s">
        <v>150</v>
      </c>
      <c r="T66" s="49" t="s">
        <v>387</v>
      </c>
    </row>
    <row r="67" spans="1:20" ht="52.5" hidden="1" customHeight="1">
      <c r="A67" s="12">
        <v>60</v>
      </c>
      <c r="B67" s="10" t="s">
        <v>148</v>
      </c>
      <c r="C67" s="14" t="s">
        <v>147</v>
      </c>
      <c r="D67" s="6">
        <v>2</v>
      </c>
      <c r="E67" s="8" t="s">
        <v>390</v>
      </c>
      <c r="F67" s="8">
        <v>3</v>
      </c>
      <c r="G67" s="66" t="s">
        <v>403</v>
      </c>
      <c r="H67" s="5"/>
      <c r="I67" s="28" t="s">
        <v>143</v>
      </c>
      <c r="J67" s="42">
        <v>0</v>
      </c>
      <c r="K67" s="43">
        <f>'Dados Detalhados'!$L$626</f>
        <v>5186.92</v>
      </c>
      <c r="L67" s="43">
        <v>0</v>
      </c>
      <c r="M67" s="43">
        <v>0</v>
      </c>
      <c r="N67" s="43">
        <v>0</v>
      </c>
      <c r="O67" s="78">
        <f t="shared" si="0"/>
        <v>5186.92</v>
      </c>
      <c r="P67" s="78">
        <v>0</v>
      </c>
      <c r="Q67" s="78">
        <f t="shared" si="1"/>
        <v>0</v>
      </c>
      <c r="R67" s="37">
        <v>3</v>
      </c>
      <c r="S67" s="11" t="s">
        <v>148</v>
      </c>
      <c r="T67" s="49" t="s">
        <v>387</v>
      </c>
    </row>
    <row r="68" spans="1:20" ht="52.5" hidden="1" customHeight="1">
      <c r="A68" s="12">
        <v>61</v>
      </c>
      <c r="B68" s="10" t="s">
        <v>146</v>
      </c>
      <c r="C68" s="14" t="s">
        <v>145</v>
      </c>
      <c r="D68" s="6">
        <v>2</v>
      </c>
      <c r="E68" s="8" t="s">
        <v>390</v>
      </c>
      <c r="F68" s="8">
        <v>3</v>
      </c>
      <c r="G68" s="66" t="s">
        <v>403</v>
      </c>
      <c r="H68" s="5"/>
      <c r="I68" s="28" t="s">
        <v>143</v>
      </c>
      <c r="J68" s="42">
        <v>0</v>
      </c>
      <c r="K68" s="47">
        <v>0</v>
      </c>
      <c r="L68" s="43"/>
      <c r="M68" s="43">
        <f>'Dados Detalhados'!$L$642</f>
        <v>5187.92</v>
      </c>
      <c r="N68" s="43">
        <v>0</v>
      </c>
      <c r="O68" s="78">
        <f t="shared" si="0"/>
        <v>5187.92</v>
      </c>
      <c r="P68" s="78">
        <v>0</v>
      </c>
      <c r="Q68" s="78">
        <f t="shared" si="1"/>
        <v>0</v>
      </c>
      <c r="R68" s="37">
        <v>3</v>
      </c>
      <c r="S68" s="11" t="s">
        <v>146</v>
      </c>
      <c r="T68" s="49" t="s">
        <v>387</v>
      </c>
    </row>
    <row r="69" spans="1:20" ht="52.5" hidden="1" customHeight="1">
      <c r="A69" s="12">
        <v>62</v>
      </c>
      <c r="B69" s="10" t="s">
        <v>142</v>
      </c>
      <c r="C69" s="11" t="s">
        <v>141</v>
      </c>
      <c r="D69" s="16">
        <v>3</v>
      </c>
      <c r="E69" s="19" t="s">
        <v>390</v>
      </c>
      <c r="F69" s="19">
        <v>3</v>
      </c>
      <c r="G69" s="66" t="s">
        <v>401</v>
      </c>
      <c r="H69" s="5" t="s">
        <v>313</v>
      </c>
      <c r="I69" s="31" t="s">
        <v>107</v>
      </c>
      <c r="J69" s="45">
        <f>'Dados Detalhados'!$L$658</f>
        <v>4500</v>
      </c>
      <c r="K69" s="45">
        <f>'Dados Detalhados'!$L$658</f>
        <v>4500</v>
      </c>
      <c r="L69" s="45">
        <f>'Dados Detalhados'!$L$658</f>
        <v>4500</v>
      </c>
      <c r="M69" s="43">
        <v>0</v>
      </c>
      <c r="N69" s="43">
        <v>0</v>
      </c>
      <c r="O69" s="78">
        <f t="shared" si="0"/>
        <v>13500</v>
      </c>
      <c r="P69" s="78">
        <v>0</v>
      </c>
      <c r="Q69" s="78">
        <f t="shared" si="1"/>
        <v>0</v>
      </c>
      <c r="R69" s="38">
        <v>1</v>
      </c>
      <c r="S69" s="11" t="s">
        <v>142</v>
      </c>
      <c r="T69" s="19"/>
    </row>
    <row r="70" spans="1:20" ht="52.5" hidden="1" customHeight="1">
      <c r="A70" s="12">
        <v>63</v>
      </c>
      <c r="B70" s="10" t="s">
        <v>140</v>
      </c>
      <c r="C70" s="14" t="s">
        <v>139</v>
      </c>
      <c r="D70" s="16">
        <v>1</v>
      </c>
      <c r="E70" s="8" t="s">
        <v>390</v>
      </c>
      <c r="F70" s="19">
        <v>3</v>
      </c>
      <c r="G70" s="66" t="s">
        <v>401</v>
      </c>
      <c r="H70" s="5" t="s">
        <v>312</v>
      </c>
      <c r="I70" s="28" t="s">
        <v>107</v>
      </c>
      <c r="J70" s="45">
        <f>'Dados Detalhados'!$L$661</f>
        <v>18604</v>
      </c>
      <c r="K70" s="44">
        <f>'Dados Detalhados'!$L$662</f>
        <v>0</v>
      </c>
      <c r="L70" s="43">
        <f>'Dados Detalhados'!$L$663</f>
        <v>13953</v>
      </c>
      <c r="M70" s="43">
        <f>'Dados Detalhados'!$L$664</f>
        <v>0</v>
      </c>
      <c r="N70" s="43">
        <f>'Dados Detalhados'!$L$665</f>
        <v>13953</v>
      </c>
      <c r="O70" s="78">
        <f t="shared" ref="O70:O133" si="2">SUM(J70:N70)</f>
        <v>46510</v>
      </c>
      <c r="P70" s="78">
        <v>13953</v>
      </c>
      <c r="Q70" s="78">
        <f t="shared" ref="Q70:Q133" si="3">+N70-P70</f>
        <v>0</v>
      </c>
      <c r="R70" s="37">
        <v>1</v>
      </c>
      <c r="S70" s="11" t="s">
        <v>140</v>
      </c>
      <c r="T70" s="8"/>
    </row>
    <row r="71" spans="1:20" ht="52.5" hidden="1" customHeight="1">
      <c r="A71" s="12">
        <v>64</v>
      </c>
      <c r="B71" s="10" t="s">
        <v>138</v>
      </c>
      <c r="C71" s="14" t="s">
        <v>335</v>
      </c>
      <c r="D71" s="16">
        <v>1</v>
      </c>
      <c r="E71" s="8" t="s">
        <v>390</v>
      </c>
      <c r="F71" s="19">
        <v>3</v>
      </c>
      <c r="G71" s="66" t="s">
        <v>401</v>
      </c>
      <c r="H71" s="5" t="s">
        <v>311</v>
      </c>
      <c r="I71" s="28" t="s">
        <v>107</v>
      </c>
      <c r="J71" s="42">
        <f>'Dados Detalhados'!$L$666</f>
        <v>18372</v>
      </c>
      <c r="K71" s="42">
        <f>'Dados Detalhados'!$L$666</f>
        <v>18372</v>
      </c>
      <c r="L71" s="42">
        <f>'Dados Detalhados'!$L$666</f>
        <v>18372</v>
      </c>
      <c r="M71" s="42">
        <f>'Dados Detalhados'!$L$666</f>
        <v>18372</v>
      </c>
      <c r="N71" s="42">
        <f>'Dados Detalhados'!$L$666</f>
        <v>18372</v>
      </c>
      <c r="O71" s="78">
        <f t="shared" si="2"/>
        <v>91860</v>
      </c>
      <c r="P71" s="78">
        <v>18372</v>
      </c>
      <c r="Q71" s="78">
        <f t="shared" si="3"/>
        <v>0</v>
      </c>
      <c r="R71" s="37">
        <v>1</v>
      </c>
      <c r="S71" s="11" t="s">
        <v>138</v>
      </c>
      <c r="T71" s="8"/>
    </row>
    <row r="72" spans="1:20" ht="52.5" hidden="1" customHeight="1">
      <c r="A72" s="12">
        <v>65</v>
      </c>
      <c r="B72" s="20" t="s">
        <v>137</v>
      </c>
      <c r="C72" s="20" t="s">
        <v>136</v>
      </c>
      <c r="D72" s="16">
        <v>1</v>
      </c>
      <c r="E72" s="19" t="s">
        <v>390</v>
      </c>
      <c r="F72" s="19">
        <v>3</v>
      </c>
      <c r="G72" s="66" t="s">
        <v>401</v>
      </c>
      <c r="H72" s="7" t="s">
        <v>310</v>
      </c>
      <c r="I72" s="31" t="s">
        <v>107</v>
      </c>
      <c r="J72" s="45">
        <f>'Dados Detalhados'!$L$668</f>
        <v>5701.36</v>
      </c>
      <c r="K72" s="45">
        <f>'Dados Detalhados'!$L$668</f>
        <v>5701.36</v>
      </c>
      <c r="L72" s="45">
        <f>'Dados Detalhados'!$L$668</f>
        <v>5701.36</v>
      </c>
      <c r="M72" s="45">
        <f>'Dados Detalhados'!$L$668</f>
        <v>5701.36</v>
      </c>
      <c r="N72" s="45">
        <f>'Dados Detalhados'!$L$668</f>
        <v>5701.36</v>
      </c>
      <c r="O72" s="78">
        <f t="shared" si="2"/>
        <v>28506.799999999999</v>
      </c>
      <c r="P72" s="78">
        <v>5701.36</v>
      </c>
      <c r="Q72" s="78">
        <f t="shared" si="3"/>
        <v>0</v>
      </c>
      <c r="R72" s="38">
        <v>1</v>
      </c>
      <c r="S72" s="32" t="s">
        <v>133</v>
      </c>
      <c r="T72" s="19"/>
    </row>
    <row r="73" spans="1:20" ht="52.5" hidden="1" customHeight="1">
      <c r="A73" s="12">
        <v>66</v>
      </c>
      <c r="B73" s="1" t="s">
        <v>135</v>
      </c>
      <c r="C73" s="20" t="s">
        <v>134</v>
      </c>
      <c r="D73" s="16">
        <v>2</v>
      </c>
      <c r="E73" s="19" t="s">
        <v>390</v>
      </c>
      <c r="F73" s="19">
        <v>3</v>
      </c>
      <c r="G73" s="66" t="s">
        <v>401</v>
      </c>
      <c r="H73" s="7"/>
      <c r="I73" s="31" t="s">
        <v>107</v>
      </c>
      <c r="J73" s="45">
        <f>'Dados Detalhados'!$L$671</f>
        <v>7701.97</v>
      </c>
      <c r="K73" s="45">
        <f>'Dados Detalhados'!$L$671</f>
        <v>7701.97</v>
      </c>
      <c r="L73" s="45">
        <f>'Dados Detalhados'!$L$671</f>
        <v>7701.97</v>
      </c>
      <c r="M73" s="45">
        <f>'Dados Detalhados'!$L$671</f>
        <v>7701.97</v>
      </c>
      <c r="N73" s="45">
        <f>'Dados Detalhados'!$L$671</f>
        <v>7701.97</v>
      </c>
      <c r="O73" s="78">
        <f t="shared" si="2"/>
        <v>38509.85</v>
      </c>
      <c r="P73" s="78">
        <v>7701.97</v>
      </c>
      <c r="Q73" s="78">
        <f t="shared" si="3"/>
        <v>0</v>
      </c>
      <c r="R73" s="38">
        <v>1</v>
      </c>
      <c r="S73" s="32" t="s">
        <v>133</v>
      </c>
      <c r="T73" s="19"/>
    </row>
    <row r="74" spans="1:20" ht="52.5" hidden="1" customHeight="1">
      <c r="A74" s="12">
        <v>67</v>
      </c>
      <c r="B74" s="10" t="s">
        <v>132</v>
      </c>
      <c r="C74" s="14" t="s">
        <v>131</v>
      </c>
      <c r="D74" s="16">
        <v>1</v>
      </c>
      <c r="E74" s="8" t="s">
        <v>390</v>
      </c>
      <c r="F74" s="19">
        <v>3</v>
      </c>
      <c r="G74" s="66" t="s">
        <v>401</v>
      </c>
      <c r="H74" s="9" t="s">
        <v>309</v>
      </c>
      <c r="I74" s="28" t="s">
        <v>107</v>
      </c>
      <c r="J74" s="42">
        <f>'Dados Detalhados'!$L$673</f>
        <v>7592.33</v>
      </c>
      <c r="K74" s="42">
        <f>'Dados Detalhados'!$L$673</f>
        <v>7592.33</v>
      </c>
      <c r="L74" s="42">
        <f>'Dados Detalhados'!$L$673</f>
        <v>7592.33</v>
      </c>
      <c r="M74" s="42">
        <f>'Dados Detalhados'!$L$673</f>
        <v>7592.33</v>
      </c>
      <c r="N74" s="42">
        <f>'Dados Detalhados'!$L$673</f>
        <v>7592.33</v>
      </c>
      <c r="O74" s="78">
        <f t="shared" si="2"/>
        <v>37961.65</v>
      </c>
      <c r="P74" s="78">
        <v>7592.33</v>
      </c>
      <c r="Q74" s="78">
        <f t="shared" si="3"/>
        <v>0</v>
      </c>
      <c r="R74" s="37">
        <v>1</v>
      </c>
      <c r="S74" s="11" t="s">
        <v>133</v>
      </c>
      <c r="T74" s="8"/>
    </row>
    <row r="75" spans="1:20" ht="52.5" hidden="1" customHeight="1">
      <c r="A75" s="12">
        <v>68</v>
      </c>
      <c r="B75" s="10" t="s">
        <v>130</v>
      </c>
      <c r="C75" s="14" t="s">
        <v>129</v>
      </c>
      <c r="D75" s="16">
        <v>2</v>
      </c>
      <c r="E75" s="8" t="s">
        <v>390</v>
      </c>
      <c r="F75" s="19">
        <v>3</v>
      </c>
      <c r="G75" s="66" t="s">
        <v>401</v>
      </c>
      <c r="H75" s="29" t="s">
        <v>308</v>
      </c>
      <c r="I75" s="28" t="s">
        <v>107</v>
      </c>
      <c r="J75" s="42">
        <v>0</v>
      </c>
      <c r="K75" s="47">
        <v>0</v>
      </c>
      <c r="L75" s="43">
        <f>'Dados Detalhados'!$L$676</f>
        <v>7622.22</v>
      </c>
      <c r="M75" s="43">
        <v>0</v>
      </c>
      <c r="N75" s="43">
        <v>0</v>
      </c>
      <c r="O75" s="78">
        <f t="shared" si="2"/>
        <v>7622.22</v>
      </c>
      <c r="P75" s="78">
        <v>0</v>
      </c>
      <c r="Q75" s="78">
        <f t="shared" si="3"/>
        <v>0</v>
      </c>
      <c r="R75" s="37">
        <v>1</v>
      </c>
      <c r="S75" s="11" t="s">
        <v>128</v>
      </c>
      <c r="T75" s="8"/>
    </row>
    <row r="76" spans="1:20" ht="52.5" hidden="1" customHeight="1">
      <c r="A76" s="12">
        <v>69</v>
      </c>
      <c r="B76" s="10" t="s">
        <v>127</v>
      </c>
      <c r="C76" s="14" t="s">
        <v>126</v>
      </c>
      <c r="D76" s="16">
        <v>2</v>
      </c>
      <c r="E76" s="8" t="s">
        <v>390</v>
      </c>
      <c r="F76" s="19">
        <v>3</v>
      </c>
      <c r="G76" s="66" t="s">
        <v>401</v>
      </c>
      <c r="H76" s="29" t="s">
        <v>308</v>
      </c>
      <c r="I76" s="28" t="s">
        <v>107</v>
      </c>
      <c r="J76" s="42">
        <v>0</v>
      </c>
      <c r="K76" s="47">
        <v>0</v>
      </c>
      <c r="L76" s="43">
        <f>'Dados Detalhados'!$L$692</f>
        <v>7622.22</v>
      </c>
      <c r="M76" s="43">
        <f>'Dados Detalhados'!$L$692</f>
        <v>7622.22</v>
      </c>
      <c r="N76" s="43">
        <v>0</v>
      </c>
      <c r="O76" s="78">
        <f t="shared" si="2"/>
        <v>15244.44</v>
      </c>
      <c r="P76" s="78">
        <v>0</v>
      </c>
      <c r="Q76" s="78">
        <f t="shared" si="3"/>
        <v>0</v>
      </c>
      <c r="R76" s="37">
        <v>1</v>
      </c>
      <c r="S76" s="11" t="s">
        <v>128</v>
      </c>
      <c r="T76" s="8"/>
    </row>
    <row r="77" spans="1:20" ht="61.5" hidden="1" customHeight="1">
      <c r="A77" s="12">
        <v>70</v>
      </c>
      <c r="B77" s="10" t="s">
        <v>124</v>
      </c>
      <c r="C77" s="14" t="s">
        <v>125</v>
      </c>
      <c r="D77" s="16">
        <v>1</v>
      </c>
      <c r="E77" s="8" t="s">
        <v>390</v>
      </c>
      <c r="F77" s="19">
        <v>3</v>
      </c>
      <c r="G77" s="66" t="s">
        <v>401</v>
      </c>
      <c r="H77" s="5" t="s">
        <v>307</v>
      </c>
      <c r="I77" s="28" t="s">
        <v>107</v>
      </c>
      <c r="J77" s="42">
        <f>'Dados Detalhados'!$L$708</f>
        <v>5669.1900000000005</v>
      </c>
      <c r="K77" s="42">
        <f>'Dados Detalhados'!$L$708</f>
        <v>5669.1900000000005</v>
      </c>
      <c r="L77" s="43">
        <v>0</v>
      </c>
      <c r="M77" s="43">
        <v>0</v>
      </c>
      <c r="N77" s="43">
        <v>0</v>
      </c>
      <c r="O77" s="78">
        <f t="shared" si="2"/>
        <v>11338.380000000001</v>
      </c>
      <c r="P77" s="78">
        <v>0</v>
      </c>
      <c r="Q77" s="78">
        <f t="shared" si="3"/>
        <v>0</v>
      </c>
      <c r="R77" s="37">
        <v>1</v>
      </c>
      <c r="S77" s="11" t="s">
        <v>124</v>
      </c>
      <c r="T77" s="8"/>
    </row>
    <row r="78" spans="1:20" ht="52.5" hidden="1" customHeight="1">
      <c r="A78" s="12">
        <v>71</v>
      </c>
      <c r="B78" s="10" t="s">
        <v>123</v>
      </c>
      <c r="C78" s="14" t="s">
        <v>122</v>
      </c>
      <c r="D78" s="16">
        <v>2</v>
      </c>
      <c r="E78" s="8" t="s">
        <v>390</v>
      </c>
      <c r="F78" s="19">
        <v>3</v>
      </c>
      <c r="G78" s="66" t="s">
        <v>401</v>
      </c>
      <c r="H78" s="5" t="s">
        <v>307</v>
      </c>
      <c r="I78" s="28" t="s">
        <v>107</v>
      </c>
      <c r="J78" s="42">
        <f>'Dados Detalhados'!$L$724</f>
        <v>2708.33</v>
      </c>
      <c r="K78" s="42">
        <f>'Dados Detalhados'!$L$724</f>
        <v>2708.33</v>
      </c>
      <c r="L78" s="42">
        <f>'Dados Detalhados'!$L$724</f>
        <v>2708.33</v>
      </c>
      <c r="M78" s="42">
        <f>'Dados Detalhados'!$L$724</f>
        <v>2708.33</v>
      </c>
      <c r="N78" s="42">
        <f>'Dados Detalhados'!$L$724</f>
        <v>2708.33</v>
      </c>
      <c r="O78" s="78">
        <f t="shared" si="2"/>
        <v>13541.65</v>
      </c>
      <c r="P78" s="78">
        <v>2708.33</v>
      </c>
      <c r="Q78" s="78">
        <f t="shared" si="3"/>
        <v>0</v>
      </c>
      <c r="R78" s="37">
        <v>1</v>
      </c>
      <c r="S78" s="11" t="s">
        <v>124</v>
      </c>
      <c r="T78" s="8"/>
    </row>
    <row r="79" spans="1:20" ht="52.5" hidden="1" customHeight="1">
      <c r="A79" s="12">
        <v>72</v>
      </c>
      <c r="B79" s="10" t="s">
        <v>121</v>
      </c>
      <c r="C79" s="14" t="s">
        <v>392</v>
      </c>
      <c r="D79" s="16">
        <v>1</v>
      </c>
      <c r="E79" s="8" t="s">
        <v>390</v>
      </c>
      <c r="F79" s="19">
        <v>3</v>
      </c>
      <c r="G79" s="66" t="s">
        <v>401</v>
      </c>
      <c r="H79" s="5" t="s">
        <v>306</v>
      </c>
      <c r="I79" s="28" t="s">
        <v>107</v>
      </c>
      <c r="J79" s="42">
        <f>'Dados Detalhados'!$L$727</f>
        <v>7140</v>
      </c>
      <c r="K79" s="42">
        <f>'Dados Detalhados'!$L$727</f>
        <v>7140</v>
      </c>
      <c r="L79" s="42">
        <f>'Dados Detalhados'!$L$727</f>
        <v>7140</v>
      </c>
      <c r="M79" s="42">
        <f>'Dados Detalhados'!$L$727</f>
        <v>7140</v>
      </c>
      <c r="N79" s="42">
        <f>'Dados Detalhados'!$L$727</f>
        <v>7140</v>
      </c>
      <c r="O79" s="78">
        <f t="shared" si="2"/>
        <v>35700</v>
      </c>
      <c r="P79" s="78">
        <v>7140</v>
      </c>
      <c r="Q79" s="78">
        <f t="shared" si="3"/>
        <v>0</v>
      </c>
      <c r="R79" s="37">
        <v>1</v>
      </c>
      <c r="S79" s="11" t="s">
        <v>121</v>
      </c>
      <c r="T79" s="8"/>
    </row>
    <row r="80" spans="1:20" ht="52.5" hidden="1" customHeight="1">
      <c r="A80" s="12">
        <v>73</v>
      </c>
      <c r="B80" s="10" t="s">
        <v>120</v>
      </c>
      <c r="C80" s="14" t="s">
        <v>119</v>
      </c>
      <c r="D80" s="16">
        <v>2</v>
      </c>
      <c r="E80" s="8" t="s">
        <v>390</v>
      </c>
      <c r="F80" s="19">
        <v>3</v>
      </c>
      <c r="G80" s="66" t="s">
        <v>401</v>
      </c>
      <c r="H80" s="5" t="s">
        <v>305</v>
      </c>
      <c r="I80" s="28" t="s">
        <v>107</v>
      </c>
      <c r="J80" s="42">
        <f>'Dados Detalhados'!$L$729</f>
        <v>4161.3900000000003</v>
      </c>
      <c r="K80" s="47">
        <v>0</v>
      </c>
      <c r="L80" s="43">
        <v>0</v>
      </c>
      <c r="M80" s="43">
        <v>0</v>
      </c>
      <c r="N80" s="43">
        <v>0</v>
      </c>
      <c r="O80" s="78">
        <f t="shared" si="2"/>
        <v>4161.3900000000003</v>
      </c>
      <c r="P80" s="78">
        <v>0</v>
      </c>
      <c r="Q80" s="78">
        <f t="shared" si="3"/>
        <v>0</v>
      </c>
      <c r="R80" s="37">
        <v>1</v>
      </c>
      <c r="S80" s="11" t="s">
        <v>116</v>
      </c>
      <c r="T80" s="8"/>
    </row>
    <row r="81" spans="1:20" ht="52.5" hidden="1" customHeight="1">
      <c r="A81" s="12">
        <v>74</v>
      </c>
      <c r="B81" s="10" t="s">
        <v>118</v>
      </c>
      <c r="C81" s="14" t="s">
        <v>117</v>
      </c>
      <c r="D81" s="16">
        <v>2</v>
      </c>
      <c r="E81" s="8" t="s">
        <v>390</v>
      </c>
      <c r="F81" s="19">
        <v>3</v>
      </c>
      <c r="G81" s="66" t="s">
        <v>401</v>
      </c>
      <c r="H81" s="5" t="s">
        <v>305</v>
      </c>
      <c r="I81" s="28" t="s">
        <v>107</v>
      </c>
      <c r="J81" s="42">
        <v>0</v>
      </c>
      <c r="K81" s="47">
        <v>0</v>
      </c>
      <c r="L81" s="46">
        <f>'Dados Detalhados'!$L$745</f>
        <v>20725.560000000001</v>
      </c>
      <c r="M81" s="43">
        <v>0</v>
      </c>
      <c r="N81" s="43">
        <v>0</v>
      </c>
      <c r="O81" s="78">
        <f t="shared" si="2"/>
        <v>20725.560000000001</v>
      </c>
      <c r="P81" s="78">
        <v>0</v>
      </c>
      <c r="Q81" s="78">
        <f t="shared" si="3"/>
        <v>0</v>
      </c>
      <c r="R81" s="37">
        <v>1</v>
      </c>
      <c r="S81" s="11" t="s">
        <v>116</v>
      </c>
      <c r="T81" s="8"/>
    </row>
    <row r="82" spans="1:20" ht="52.5" hidden="1" customHeight="1">
      <c r="A82" s="12">
        <v>75</v>
      </c>
      <c r="B82" s="10" t="s">
        <v>115</v>
      </c>
      <c r="C82" s="14" t="s">
        <v>114</v>
      </c>
      <c r="D82" s="16">
        <v>2</v>
      </c>
      <c r="E82" s="8" t="s">
        <v>390</v>
      </c>
      <c r="F82" s="19">
        <v>3</v>
      </c>
      <c r="G82" s="66" t="s">
        <v>401</v>
      </c>
      <c r="H82" s="5"/>
      <c r="I82" s="28" t="s">
        <v>107</v>
      </c>
      <c r="J82" s="42">
        <v>0</v>
      </c>
      <c r="K82" s="47">
        <v>0</v>
      </c>
      <c r="L82" s="70">
        <v>0</v>
      </c>
      <c r="M82" s="71">
        <f>'Dados Detalhados'!$L$761</f>
        <v>20725.560000000001</v>
      </c>
      <c r="N82" s="43">
        <v>0</v>
      </c>
      <c r="O82" s="78">
        <f t="shared" si="2"/>
        <v>20725.560000000001</v>
      </c>
      <c r="P82" s="78">
        <v>0</v>
      </c>
      <c r="Q82" s="78">
        <f t="shared" si="3"/>
        <v>0</v>
      </c>
      <c r="R82" s="37">
        <v>1</v>
      </c>
      <c r="S82" s="11" t="s">
        <v>116</v>
      </c>
      <c r="T82" s="8"/>
    </row>
    <row r="83" spans="1:20" ht="52.5" hidden="1" customHeight="1">
      <c r="A83" s="12">
        <v>76</v>
      </c>
      <c r="B83" s="10" t="s">
        <v>113</v>
      </c>
      <c r="C83" s="14" t="s">
        <v>112</v>
      </c>
      <c r="D83" s="16">
        <v>1</v>
      </c>
      <c r="E83" s="8" t="s">
        <v>390</v>
      </c>
      <c r="F83" s="19">
        <v>3</v>
      </c>
      <c r="G83" s="66" t="s">
        <v>401</v>
      </c>
      <c r="H83" s="5" t="s">
        <v>305</v>
      </c>
      <c r="I83" s="28" t="s">
        <v>107</v>
      </c>
      <c r="J83" s="42">
        <f>'Dados Detalhados'!$L$777</f>
        <v>3788.65</v>
      </c>
      <c r="K83" s="42">
        <f>'Dados Detalhados'!$L$777</f>
        <v>3788.65</v>
      </c>
      <c r="L83" s="42">
        <f>'Dados Detalhados'!$L$777</f>
        <v>3788.65</v>
      </c>
      <c r="M83" s="42">
        <f>'Dados Detalhados'!$L$777</f>
        <v>3788.65</v>
      </c>
      <c r="N83" s="42">
        <f>'Dados Detalhados'!$L$777</f>
        <v>3788.65</v>
      </c>
      <c r="O83" s="78">
        <f t="shared" si="2"/>
        <v>18943.25</v>
      </c>
      <c r="P83" s="78">
        <v>3788.65</v>
      </c>
      <c r="Q83" s="78">
        <f t="shared" si="3"/>
        <v>0</v>
      </c>
      <c r="R83" s="37">
        <v>1</v>
      </c>
      <c r="S83" s="11" t="s">
        <v>113</v>
      </c>
      <c r="T83" s="8"/>
    </row>
    <row r="84" spans="1:20" ht="52.5" hidden="1" customHeight="1">
      <c r="A84" s="12">
        <v>77</v>
      </c>
      <c r="B84" s="10" t="s">
        <v>111</v>
      </c>
      <c r="C84" s="14" t="s">
        <v>110</v>
      </c>
      <c r="D84" s="16">
        <v>1</v>
      </c>
      <c r="E84" s="8" t="s">
        <v>390</v>
      </c>
      <c r="F84" s="19">
        <v>3</v>
      </c>
      <c r="G84" s="66" t="s">
        <v>401</v>
      </c>
      <c r="H84" s="5"/>
      <c r="I84" s="28" t="s">
        <v>107</v>
      </c>
      <c r="J84" s="42">
        <f>'Dados Detalhados'!$L$791</f>
        <v>3070.2</v>
      </c>
      <c r="K84" s="42">
        <f>'Dados Detalhados'!$L$791</f>
        <v>3070.2</v>
      </c>
      <c r="L84" s="42">
        <f>'Dados Detalhados'!$L$791</f>
        <v>3070.2</v>
      </c>
      <c r="M84" s="42">
        <f>'Dados Detalhados'!$L$791</f>
        <v>3070.2</v>
      </c>
      <c r="N84" s="42">
        <f>'Dados Detalhados'!$L$791</f>
        <v>3070.2</v>
      </c>
      <c r="O84" s="78">
        <f t="shared" si="2"/>
        <v>15351</v>
      </c>
      <c r="P84" s="78">
        <v>3070.2</v>
      </c>
      <c r="Q84" s="78">
        <f t="shared" si="3"/>
        <v>0</v>
      </c>
      <c r="R84" s="37">
        <v>1</v>
      </c>
      <c r="S84" s="11" t="s">
        <v>111</v>
      </c>
      <c r="T84" s="8"/>
    </row>
    <row r="85" spans="1:20" ht="52.5" hidden="1" customHeight="1">
      <c r="A85" s="12">
        <v>78</v>
      </c>
      <c r="B85" s="10" t="s">
        <v>109</v>
      </c>
      <c r="C85" s="14" t="s">
        <v>108</v>
      </c>
      <c r="D85" s="16">
        <v>1</v>
      </c>
      <c r="E85" s="8" t="s">
        <v>390</v>
      </c>
      <c r="F85" s="19">
        <v>3</v>
      </c>
      <c r="G85" s="66" t="s">
        <v>401</v>
      </c>
      <c r="H85" s="5"/>
      <c r="I85" s="28" t="s">
        <v>107</v>
      </c>
      <c r="J85" s="42">
        <v>0</v>
      </c>
      <c r="K85" s="47">
        <v>0</v>
      </c>
      <c r="L85" s="43">
        <f>'Dados Detalhados'!$L$793</f>
        <v>5000</v>
      </c>
      <c r="M85" s="43">
        <v>0</v>
      </c>
      <c r="N85" s="43">
        <v>0</v>
      </c>
      <c r="O85" s="78">
        <f t="shared" si="2"/>
        <v>5000</v>
      </c>
      <c r="P85" s="78">
        <v>0</v>
      </c>
      <c r="Q85" s="78">
        <f t="shared" si="3"/>
        <v>0</v>
      </c>
      <c r="R85" s="37">
        <v>1</v>
      </c>
      <c r="S85" s="11" t="s">
        <v>109</v>
      </c>
      <c r="T85" s="8"/>
    </row>
    <row r="86" spans="1:20" ht="52.5" hidden="1" customHeight="1">
      <c r="A86" s="12">
        <v>79</v>
      </c>
      <c r="B86" s="10" t="s">
        <v>106</v>
      </c>
      <c r="C86" s="14" t="s">
        <v>105</v>
      </c>
      <c r="D86" s="16">
        <v>1</v>
      </c>
      <c r="E86" s="8" t="s">
        <v>390</v>
      </c>
      <c r="F86" s="19">
        <v>3</v>
      </c>
      <c r="G86" s="66" t="s">
        <v>402</v>
      </c>
      <c r="H86" s="5" t="s">
        <v>304</v>
      </c>
      <c r="I86" s="28" t="s">
        <v>77</v>
      </c>
      <c r="J86" s="42">
        <v>0</v>
      </c>
      <c r="K86" s="46">
        <f>'Dados Detalhados'!$L$795</f>
        <v>20571.22</v>
      </c>
      <c r="L86" s="43">
        <v>0</v>
      </c>
      <c r="M86" s="43">
        <v>0</v>
      </c>
      <c r="N86" s="43">
        <v>0</v>
      </c>
      <c r="O86" s="78">
        <f t="shared" si="2"/>
        <v>20571.22</v>
      </c>
      <c r="P86" s="78">
        <v>0</v>
      </c>
      <c r="Q86" s="78">
        <f t="shared" si="3"/>
        <v>0</v>
      </c>
      <c r="R86" s="37">
        <v>2</v>
      </c>
      <c r="S86" s="11" t="s">
        <v>106</v>
      </c>
      <c r="T86" s="8"/>
    </row>
    <row r="87" spans="1:20" ht="52.5" hidden="1" customHeight="1">
      <c r="A87" s="12">
        <v>80</v>
      </c>
      <c r="B87" s="10" t="s">
        <v>101</v>
      </c>
      <c r="C87" s="14" t="s">
        <v>104</v>
      </c>
      <c r="D87" s="16">
        <v>1</v>
      </c>
      <c r="E87" s="8" t="s">
        <v>390</v>
      </c>
      <c r="F87" s="19">
        <v>3</v>
      </c>
      <c r="G87" s="66" t="s">
        <v>402</v>
      </c>
      <c r="H87" s="5" t="s">
        <v>286</v>
      </c>
      <c r="I87" s="28" t="s">
        <v>77</v>
      </c>
      <c r="J87" s="45">
        <f>'Dados Detalhados'!$L$835</f>
        <v>3933</v>
      </c>
      <c r="K87" s="62">
        <f>'Dados Detalhados'!$L$836</f>
        <v>7222</v>
      </c>
      <c r="L87" s="43">
        <f>'Dados Detalhados'!$L$837</f>
        <v>8050</v>
      </c>
      <c r="M87" s="43">
        <f>'Dados Detalhados'!$L$838</f>
        <v>4370</v>
      </c>
      <c r="N87" s="43">
        <f>'Dados Detalhados'!$L$839</f>
        <v>9430</v>
      </c>
      <c r="O87" s="78">
        <f t="shared" si="2"/>
        <v>33005</v>
      </c>
      <c r="P87" s="78">
        <v>9430</v>
      </c>
      <c r="Q87" s="78">
        <f t="shared" si="3"/>
        <v>0</v>
      </c>
      <c r="R87" s="37">
        <v>2</v>
      </c>
      <c r="S87" s="11" t="s">
        <v>101</v>
      </c>
      <c r="T87" s="8"/>
    </row>
    <row r="88" spans="1:20" ht="52.5" hidden="1" customHeight="1">
      <c r="A88" s="12">
        <v>81</v>
      </c>
      <c r="B88" s="10" t="s">
        <v>103</v>
      </c>
      <c r="C88" s="14" t="s">
        <v>102</v>
      </c>
      <c r="D88" s="16">
        <v>1</v>
      </c>
      <c r="E88" s="8" t="s">
        <v>390</v>
      </c>
      <c r="F88" s="19">
        <v>3</v>
      </c>
      <c r="G88" s="66" t="s">
        <v>402</v>
      </c>
      <c r="H88" s="5"/>
      <c r="I88" s="28" t="s">
        <v>77</v>
      </c>
      <c r="J88" s="42">
        <f>'Dados Detalhados'!$L$841</f>
        <v>640</v>
      </c>
      <c r="K88" s="42">
        <f>'Dados Detalhados'!$L$842</f>
        <v>448</v>
      </c>
      <c r="L88" s="42">
        <f>'Dados Detalhados'!$L$843</f>
        <v>1280</v>
      </c>
      <c r="M88" s="42">
        <f>'Dados Detalhados'!$L$844</f>
        <v>832</v>
      </c>
      <c r="N88" s="42">
        <f>'Dados Detalhados'!$L$845</f>
        <v>2304</v>
      </c>
      <c r="O88" s="78">
        <f t="shared" si="2"/>
        <v>5504</v>
      </c>
      <c r="P88" s="78">
        <v>2304</v>
      </c>
      <c r="Q88" s="78">
        <f t="shared" si="3"/>
        <v>0</v>
      </c>
      <c r="R88" s="37">
        <v>2</v>
      </c>
      <c r="S88" s="11" t="s">
        <v>101</v>
      </c>
      <c r="T88" s="8"/>
    </row>
    <row r="89" spans="1:20" ht="52.5" hidden="1" customHeight="1">
      <c r="A89" s="12">
        <v>82</v>
      </c>
      <c r="B89" s="10" t="s">
        <v>100</v>
      </c>
      <c r="C89" s="14" t="s">
        <v>99</v>
      </c>
      <c r="D89" s="16">
        <v>1</v>
      </c>
      <c r="E89" s="8" t="s">
        <v>390</v>
      </c>
      <c r="F89" s="19">
        <v>3</v>
      </c>
      <c r="G89" s="66" t="s">
        <v>402</v>
      </c>
      <c r="H89" s="5"/>
      <c r="I89" s="28" t="s">
        <v>77</v>
      </c>
      <c r="J89" s="42">
        <f>'Dados Detalhados'!$L$847</f>
        <v>132</v>
      </c>
      <c r="K89" s="42">
        <f>'Dados Detalhados'!$L$848</f>
        <v>66</v>
      </c>
      <c r="L89" s="42">
        <f>'Dados Detalhados'!$L$849</f>
        <v>132</v>
      </c>
      <c r="M89" s="42">
        <f>'Dados Detalhados'!$L$850</f>
        <v>110</v>
      </c>
      <c r="N89" s="42">
        <f>'Dados Detalhados'!$L$851</f>
        <v>220</v>
      </c>
      <c r="O89" s="78">
        <f t="shared" si="2"/>
        <v>660</v>
      </c>
      <c r="P89" s="78">
        <v>220</v>
      </c>
      <c r="Q89" s="78">
        <f t="shared" si="3"/>
        <v>0</v>
      </c>
      <c r="R89" s="37">
        <v>2</v>
      </c>
      <c r="S89" s="11" t="s">
        <v>101</v>
      </c>
      <c r="T89" s="8"/>
    </row>
    <row r="90" spans="1:20" ht="52.5" hidden="1" customHeight="1">
      <c r="A90" s="12">
        <v>83</v>
      </c>
      <c r="B90" s="18" t="s">
        <v>98</v>
      </c>
      <c r="C90" s="18" t="s">
        <v>97</v>
      </c>
      <c r="D90" s="16">
        <v>1</v>
      </c>
      <c r="E90" s="8" t="s">
        <v>390</v>
      </c>
      <c r="F90" s="19">
        <v>3</v>
      </c>
      <c r="G90" s="66" t="s">
        <v>402</v>
      </c>
      <c r="H90" s="17" t="s">
        <v>303</v>
      </c>
      <c r="I90" s="28" t="s">
        <v>77</v>
      </c>
      <c r="J90" s="42">
        <f>'Dados Detalhados'!$L$853</f>
        <v>0</v>
      </c>
      <c r="K90" s="42">
        <f>'Dados Detalhados'!$L$854</f>
        <v>658.41</v>
      </c>
      <c r="L90" s="42">
        <f>'Dados Detalhados'!$L$855</f>
        <v>1783.86</v>
      </c>
      <c r="M90" s="42">
        <f>'Dados Detalhados'!$L$856</f>
        <v>1134.3599999999999</v>
      </c>
      <c r="N90" s="42">
        <f>'Dados Detalhados'!$L$857</f>
        <v>3058.62</v>
      </c>
      <c r="O90" s="78">
        <f t="shared" si="2"/>
        <v>6635.25</v>
      </c>
      <c r="P90" s="78">
        <v>3058.62</v>
      </c>
      <c r="Q90" s="78">
        <f t="shared" si="3"/>
        <v>0</v>
      </c>
      <c r="R90" s="37">
        <v>2</v>
      </c>
      <c r="S90" s="11" t="s">
        <v>98</v>
      </c>
      <c r="T90" s="8"/>
    </row>
    <row r="91" spans="1:20" ht="52.5" hidden="1" customHeight="1">
      <c r="A91" s="12">
        <v>84</v>
      </c>
      <c r="B91" s="10" t="s">
        <v>96</v>
      </c>
      <c r="C91" s="14" t="s">
        <v>95</v>
      </c>
      <c r="D91" s="16">
        <v>2</v>
      </c>
      <c r="E91" s="8" t="s">
        <v>389</v>
      </c>
      <c r="F91" s="19">
        <v>2</v>
      </c>
      <c r="G91" s="66" t="s">
        <v>400</v>
      </c>
      <c r="H91" s="5" t="s">
        <v>302</v>
      </c>
      <c r="I91" s="28" t="s">
        <v>77</v>
      </c>
      <c r="J91" s="42">
        <v>0</v>
      </c>
      <c r="K91" s="47">
        <v>0</v>
      </c>
      <c r="L91" s="43">
        <f>'Dados Detalhados'!$L$874</f>
        <v>3182.41</v>
      </c>
      <c r="M91" s="43">
        <v>0</v>
      </c>
      <c r="N91" s="43">
        <v>0</v>
      </c>
      <c r="O91" s="78">
        <f t="shared" si="2"/>
        <v>3182.41</v>
      </c>
      <c r="P91" s="78">
        <v>0</v>
      </c>
      <c r="Q91" s="78">
        <f t="shared" si="3"/>
        <v>0</v>
      </c>
      <c r="R91" s="37">
        <v>1</v>
      </c>
      <c r="S91" s="11" t="s">
        <v>96</v>
      </c>
      <c r="T91" s="8"/>
    </row>
    <row r="92" spans="1:20" ht="52.5" hidden="1" customHeight="1">
      <c r="A92" s="12">
        <v>85</v>
      </c>
      <c r="B92" s="10" t="s">
        <v>94</v>
      </c>
      <c r="C92" s="14" t="s">
        <v>93</v>
      </c>
      <c r="D92" s="16">
        <v>1</v>
      </c>
      <c r="E92" s="8" t="s">
        <v>389</v>
      </c>
      <c r="F92" s="19">
        <v>2</v>
      </c>
      <c r="G92" s="66" t="s">
        <v>400</v>
      </c>
      <c r="H92" s="5" t="s">
        <v>301</v>
      </c>
      <c r="I92" s="28" t="s">
        <v>77</v>
      </c>
      <c r="J92" s="42">
        <f>'Dados Detalhados'!$L$874</f>
        <v>3182.41</v>
      </c>
      <c r="K92" s="42">
        <f>'Dados Detalhados'!$L$874</f>
        <v>3182.41</v>
      </c>
      <c r="L92" s="42">
        <f>'Dados Detalhados'!$L$874</f>
        <v>3182.41</v>
      </c>
      <c r="M92" s="42">
        <f>'Dados Detalhados'!$L$874</f>
        <v>3182.41</v>
      </c>
      <c r="N92" s="42">
        <f>'Dados Detalhados'!$L$874</f>
        <v>3182.41</v>
      </c>
      <c r="O92" s="78">
        <f t="shared" si="2"/>
        <v>15912.05</v>
      </c>
      <c r="P92" s="78">
        <v>3182.41</v>
      </c>
      <c r="Q92" s="78">
        <f t="shared" si="3"/>
        <v>0</v>
      </c>
      <c r="R92" s="37">
        <v>1</v>
      </c>
      <c r="S92" s="11" t="s">
        <v>94</v>
      </c>
      <c r="T92" s="8"/>
    </row>
    <row r="93" spans="1:20" ht="52.5" hidden="1" customHeight="1">
      <c r="A93" s="12">
        <v>86</v>
      </c>
      <c r="B93" s="10" t="s">
        <v>92</v>
      </c>
      <c r="C93" s="14" t="s">
        <v>91</v>
      </c>
      <c r="D93" s="16">
        <v>1</v>
      </c>
      <c r="E93" s="8" t="s">
        <v>390</v>
      </c>
      <c r="F93" s="19">
        <v>3</v>
      </c>
      <c r="G93" s="66" t="s">
        <v>402</v>
      </c>
      <c r="H93" s="5" t="s">
        <v>300</v>
      </c>
      <c r="I93" s="28" t="s">
        <v>77</v>
      </c>
      <c r="J93" s="42">
        <f>'Dados Detalhados'!$L$886</f>
        <v>3070.2</v>
      </c>
      <c r="K93" s="42">
        <f>'Dados Detalhados'!$L$886</f>
        <v>3070.2</v>
      </c>
      <c r="L93" s="42">
        <f>'Dados Detalhados'!$L$886</f>
        <v>3070.2</v>
      </c>
      <c r="M93" s="42">
        <f>'Dados Detalhados'!$L$886</f>
        <v>3070.2</v>
      </c>
      <c r="N93" s="42">
        <f>'Dados Detalhados'!$L$886</f>
        <v>3070.2</v>
      </c>
      <c r="O93" s="78">
        <f t="shared" si="2"/>
        <v>15351</v>
      </c>
      <c r="P93" s="78">
        <v>3070.2</v>
      </c>
      <c r="Q93" s="78">
        <f t="shared" si="3"/>
        <v>0</v>
      </c>
      <c r="R93" s="37">
        <v>2</v>
      </c>
      <c r="S93" s="11" t="s">
        <v>92</v>
      </c>
      <c r="T93" s="8"/>
    </row>
    <row r="94" spans="1:20" ht="61.5" hidden="1" customHeight="1">
      <c r="A94" s="12">
        <v>87</v>
      </c>
      <c r="B94" s="10" t="s">
        <v>90</v>
      </c>
      <c r="C94" s="14" t="s">
        <v>89</v>
      </c>
      <c r="D94" s="16">
        <v>3</v>
      </c>
      <c r="E94" s="8" t="s">
        <v>390</v>
      </c>
      <c r="F94" s="19">
        <v>3</v>
      </c>
      <c r="G94" s="66" t="s">
        <v>404</v>
      </c>
      <c r="H94" s="5"/>
      <c r="I94" s="28" t="s">
        <v>77</v>
      </c>
      <c r="J94" s="42">
        <v>0</v>
      </c>
      <c r="K94" s="47">
        <v>0</v>
      </c>
      <c r="L94" s="43">
        <f>'Dados Detalhados'!$L$889</f>
        <v>11856.72</v>
      </c>
      <c r="M94" s="43">
        <v>0</v>
      </c>
      <c r="N94" s="43">
        <v>0</v>
      </c>
      <c r="O94" s="78">
        <f t="shared" si="2"/>
        <v>11856.72</v>
      </c>
      <c r="P94" s="78">
        <v>0</v>
      </c>
      <c r="Q94" s="78">
        <f t="shared" si="3"/>
        <v>0</v>
      </c>
      <c r="R94" s="37">
        <v>4</v>
      </c>
      <c r="S94" s="11" t="s">
        <v>88</v>
      </c>
      <c r="T94" s="8"/>
    </row>
    <row r="95" spans="1:20" ht="52.5" hidden="1" customHeight="1">
      <c r="A95" s="12">
        <v>88</v>
      </c>
      <c r="B95" s="10" t="s">
        <v>87</v>
      </c>
      <c r="C95" s="14" t="s">
        <v>86</v>
      </c>
      <c r="D95" s="16">
        <v>3</v>
      </c>
      <c r="E95" s="8" t="s">
        <v>390</v>
      </c>
      <c r="F95" s="19">
        <v>3</v>
      </c>
      <c r="G95" s="66" t="s">
        <v>404</v>
      </c>
      <c r="H95" s="5"/>
      <c r="I95" s="28" t="s">
        <v>77</v>
      </c>
      <c r="J95" s="42">
        <v>0</v>
      </c>
      <c r="K95" s="47">
        <v>0</v>
      </c>
      <c r="L95" s="43"/>
      <c r="M95" s="43">
        <f>'Dados Detalhados'!$L$907</f>
        <v>11856.72</v>
      </c>
      <c r="N95" s="43">
        <v>0</v>
      </c>
      <c r="O95" s="78">
        <f t="shared" si="2"/>
        <v>11856.72</v>
      </c>
      <c r="P95" s="78">
        <v>0</v>
      </c>
      <c r="Q95" s="78">
        <f t="shared" si="3"/>
        <v>0</v>
      </c>
      <c r="R95" s="37">
        <v>4</v>
      </c>
      <c r="S95" s="11" t="s">
        <v>88</v>
      </c>
      <c r="T95" s="8"/>
    </row>
    <row r="96" spans="1:20" ht="52.5" hidden="1" customHeight="1">
      <c r="A96" s="12">
        <v>89</v>
      </c>
      <c r="B96" s="10" t="s">
        <v>85</v>
      </c>
      <c r="C96" s="14" t="s">
        <v>84</v>
      </c>
      <c r="D96" s="16">
        <v>2</v>
      </c>
      <c r="E96" s="8" t="s">
        <v>390</v>
      </c>
      <c r="F96" s="19">
        <v>3</v>
      </c>
      <c r="G96" s="66" t="s">
        <v>402</v>
      </c>
      <c r="H96" s="5"/>
      <c r="I96" s="28" t="s">
        <v>77</v>
      </c>
      <c r="J96" s="42">
        <v>0</v>
      </c>
      <c r="K96" s="47">
        <f>'Dados Detalhados'!$L$925</f>
        <v>3000</v>
      </c>
      <c r="L96" s="47">
        <f>'Dados Detalhados'!$L$925</f>
        <v>3000</v>
      </c>
      <c r="M96" s="47">
        <f>'Dados Detalhados'!$L$925</f>
        <v>3000</v>
      </c>
      <c r="N96" s="47">
        <f>'Dados Detalhados'!$L$925</f>
        <v>3000</v>
      </c>
      <c r="O96" s="78">
        <f t="shared" si="2"/>
        <v>12000</v>
      </c>
      <c r="P96" s="78">
        <v>3000</v>
      </c>
      <c r="Q96" s="78">
        <f t="shared" si="3"/>
        <v>0</v>
      </c>
      <c r="R96" s="37">
        <v>2</v>
      </c>
      <c r="S96" s="11" t="s">
        <v>85</v>
      </c>
      <c r="T96" s="8"/>
    </row>
    <row r="97" spans="1:20" ht="62.25" hidden="1" customHeight="1">
      <c r="A97" s="12">
        <v>90</v>
      </c>
      <c r="B97" s="10" t="s">
        <v>83</v>
      </c>
      <c r="C97" s="14" t="s">
        <v>82</v>
      </c>
      <c r="D97" s="16">
        <v>1</v>
      </c>
      <c r="E97" s="8" t="s">
        <v>390</v>
      </c>
      <c r="F97" s="19">
        <v>3</v>
      </c>
      <c r="G97" s="66" t="s">
        <v>402</v>
      </c>
      <c r="H97" s="5"/>
      <c r="I97" s="28" t="s">
        <v>77</v>
      </c>
      <c r="J97" s="42">
        <v>0</v>
      </c>
      <c r="K97" s="47">
        <f>'Dados Detalhados'!$L$928</f>
        <v>6143.39</v>
      </c>
      <c r="L97" s="47"/>
      <c r="M97" s="47">
        <f>'Dados Detalhados'!$L$928</f>
        <v>6143.39</v>
      </c>
      <c r="N97" s="43">
        <v>0</v>
      </c>
      <c r="O97" s="78">
        <f t="shared" si="2"/>
        <v>12286.78</v>
      </c>
      <c r="P97" s="78">
        <v>0</v>
      </c>
      <c r="Q97" s="78">
        <f t="shared" si="3"/>
        <v>0</v>
      </c>
      <c r="R97" s="37">
        <v>2</v>
      </c>
      <c r="S97" s="11" t="s">
        <v>83</v>
      </c>
      <c r="T97" s="8"/>
    </row>
    <row r="98" spans="1:20" ht="52.5" hidden="1" customHeight="1">
      <c r="A98" s="12">
        <v>91</v>
      </c>
      <c r="B98" s="10" t="s">
        <v>81</v>
      </c>
      <c r="C98" s="14" t="s">
        <v>80</v>
      </c>
      <c r="D98" s="16">
        <v>1</v>
      </c>
      <c r="E98" s="8" t="s">
        <v>390</v>
      </c>
      <c r="F98" s="19">
        <v>3</v>
      </c>
      <c r="G98" s="66" t="s">
        <v>402</v>
      </c>
      <c r="H98" s="5"/>
      <c r="I98" s="28" t="s">
        <v>77</v>
      </c>
      <c r="J98" s="42">
        <v>0</v>
      </c>
      <c r="K98" s="47">
        <f>'Dados Detalhados'!$L$944</f>
        <v>9806.06</v>
      </c>
      <c r="L98" s="47"/>
      <c r="M98" s="47">
        <f>'Dados Detalhados'!$L$944</f>
        <v>9806.06</v>
      </c>
      <c r="N98" s="43">
        <v>0</v>
      </c>
      <c r="O98" s="78">
        <f t="shared" si="2"/>
        <v>19612.12</v>
      </c>
      <c r="P98" s="78">
        <v>0</v>
      </c>
      <c r="Q98" s="78">
        <f t="shared" si="3"/>
        <v>0</v>
      </c>
      <c r="R98" s="37">
        <v>2</v>
      </c>
      <c r="S98" s="11" t="s">
        <v>81</v>
      </c>
      <c r="T98" s="8"/>
    </row>
    <row r="99" spans="1:20" ht="52.5" hidden="1" customHeight="1">
      <c r="A99" s="12">
        <v>92</v>
      </c>
      <c r="B99" s="10" t="s">
        <v>79</v>
      </c>
      <c r="C99" s="14" t="s">
        <v>78</v>
      </c>
      <c r="D99" s="6">
        <v>1</v>
      </c>
      <c r="E99" s="8" t="s">
        <v>390</v>
      </c>
      <c r="F99" s="19">
        <v>3</v>
      </c>
      <c r="G99" s="66" t="s">
        <v>402</v>
      </c>
      <c r="H99" s="5"/>
      <c r="I99" s="28" t="s">
        <v>77</v>
      </c>
      <c r="J99" s="42">
        <f>'Dados Detalhados'!$L$961</f>
        <v>0</v>
      </c>
      <c r="K99" s="42">
        <f>'Dados Detalhados'!$L$962</f>
        <v>2500</v>
      </c>
      <c r="L99" s="42">
        <f>'Dados Detalhados'!$L$963</f>
        <v>2500</v>
      </c>
      <c r="M99" s="42">
        <f>'Dados Detalhados'!$L$964</f>
        <v>2500</v>
      </c>
      <c r="N99" s="42">
        <f>'Dados Detalhados'!$L$965</f>
        <v>2500</v>
      </c>
      <c r="O99" s="78">
        <f t="shared" si="2"/>
        <v>10000</v>
      </c>
      <c r="P99" s="78">
        <v>2500</v>
      </c>
      <c r="Q99" s="78">
        <f t="shared" si="3"/>
        <v>0</v>
      </c>
      <c r="R99" s="37">
        <v>2</v>
      </c>
      <c r="S99" s="11" t="s">
        <v>79</v>
      </c>
      <c r="T99" s="8"/>
    </row>
    <row r="100" spans="1:20" ht="52.5" hidden="1" customHeight="1">
      <c r="A100" s="12">
        <v>93</v>
      </c>
      <c r="B100" s="10" t="s">
        <v>76</v>
      </c>
      <c r="C100" s="10" t="s">
        <v>75</v>
      </c>
      <c r="D100" s="15">
        <v>1</v>
      </c>
      <c r="E100" s="8" t="s">
        <v>42</v>
      </c>
      <c r="F100" s="8">
        <v>4</v>
      </c>
      <c r="G100" s="67" t="s">
        <v>406</v>
      </c>
      <c r="H100" s="9" t="s">
        <v>299</v>
      </c>
      <c r="I100" s="28" t="s">
        <v>41</v>
      </c>
      <c r="J100" s="42">
        <f>'Dados Detalhados'!$L$966</f>
        <v>0</v>
      </c>
      <c r="K100" s="42">
        <f>'Dados Detalhados'!$L$966</f>
        <v>0</v>
      </c>
      <c r="L100" s="42">
        <f>'Dados Detalhados'!$L$966</f>
        <v>0</v>
      </c>
      <c r="M100" s="42">
        <f>'Dados Detalhados'!$L$966</f>
        <v>0</v>
      </c>
      <c r="N100" s="42">
        <f>'Dados Detalhados'!$L$966</f>
        <v>0</v>
      </c>
      <c r="O100" s="78">
        <f t="shared" si="2"/>
        <v>0</v>
      </c>
      <c r="P100" s="78">
        <v>0</v>
      </c>
      <c r="Q100" s="78">
        <f t="shared" si="3"/>
        <v>0</v>
      </c>
      <c r="R100" s="37">
        <v>2</v>
      </c>
      <c r="S100" s="11" t="s">
        <v>76</v>
      </c>
      <c r="T100" s="8"/>
    </row>
    <row r="101" spans="1:20" ht="52.5" hidden="1" customHeight="1">
      <c r="A101" s="12">
        <v>94</v>
      </c>
      <c r="B101" s="10" t="s">
        <v>74</v>
      </c>
      <c r="C101" s="10" t="s">
        <v>73</v>
      </c>
      <c r="D101" s="15">
        <v>1</v>
      </c>
      <c r="E101" s="8" t="s">
        <v>42</v>
      </c>
      <c r="F101" s="8">
        <v>4</v>
      </c>
      <c r="G101" s="67" t="s">
        <v>406</v>
      </c>
      <c r="H101" s="9" t="s">
        <v>298</v>
      </c>
      <c r="I101" s="28" t="s">
        <v>41</v>
      </c>
      <c r="J101" s="42">
        <f>'Dados Detalhados'!$L$968</f>
        <v>9921.6575000000012</v>
      </c>
      <c r="K101" s="47">
        <v>0</v>
      </c>
      <c r="L101" s="43">
        <v>0</v>
      </c>
      <c r="M101" s="43">
        <v>0</v>
      </c>
      <c r="N101" s="43">
        <v>0</v>
      </c>
      <c r="O101" s="78">
        <f t="shared" si="2"/>
        <v>9921.6575000000012</v>
      </c>
      <c r="P101" s="78">
        <v>0</v>
      </c>
      <c r="Q101" s="78">
        <f t="shared" si="3"/>
        <v>0</v>
      </c>
      <c r="R101" s="37">
        <v>2</v>
      </c>
      <c r="S101" s="11" t="s">
        <v>74</v>
      </c>
      <c r="T101" s="8"/>
    </row>
    <row r="102" spans="1:20" ht="52.5" hidden="1" customHeight="1">
      <c r="A102" s="12">
        <v>95</v>
      </c>
      <c r="B102" s="10" t="s">
        <v>72</v>
      </c>
      <c r="C102" s="10" t="s">
        <v>71</v>
      </c>
      <c r="D102" s="15">
        <v>1</v>
      </c>
      <c r="E102" s="8" t="s">
        <v>42</v>
      </c>
      <c r="F102" s="8">
        <v>4</v>
      </c>
      <c r="G102" s="67" t="s">
        <v>406</v>
      </c>
      <c r="H102" s="9" t="s">
        <v>297</v>
      </c>
      <c r="I102" s="28" t="s">
        <v>41</v>
      </c>
      <c r="J102" s="42">
        <f>'Dados Detalhados'!$L$996</f>
        <v>0</v>
      </c>
      <c r="K102" s="42">
        <f>'Dados Detalhados'!$L$996</f>
        <v>0</v>
      </c>
      <c r="L102" s="42">
        <f>'Dados Detalhados'!$L$996</f>
        <v>0</v>
      </c>
      <c r="M102" s="42">
        <f>'Dados Detalhados'!$L$996</f>
        <v>0</v>
      </c>
      <c r="N102" s="42">
        <f>'Dados Detalhados'!$L$996</f>
        <v>0</v>
      </c>
      <c r="O102" s="78">
        <f t="shared" si="2"/>
        <v>0</v>
      </c>
      <c r="P102" s="78">
        <v>0</v>
      </c>
      <c r="Q102" s="78">
        <f t="shared" si="3"/>
        <v>0</v>
      </c>
      <c r="R102" s="37">
        <v>2</v>
      </c>
      <c r="S102" s="11" t="s">
        <v>72</v>
      </c>
      <c r="T102" s="8"/>
    </row>
    <row r="103" spans="1:20" ht="52.5" hidden="1" customHeight="1">
      <c r="A103" s="12">
        <v>96</v>
      </c>
      <c r="B103" s="10" t="s">
        <v>70</v>
      </c>
      <c r="C103" s="10" t="s">
        <v>69</v>
      </c>
      <c r="D103" s="15">
        <v>1</v>
      </c>
      <c r="E103" s="8" t="s">
        <v>42</v>
      </c>
      <c r="F103" s="8">
        <v>4</v>
      </c>
      <c r="G103" s="67" t="s">
        <v>406</v>
      </c>
      <c r="H103" s="9" t="s">
        <v>296</v>
      </c>
      <c r="I103" s="28" t="s">
        <v>41</v>
      </c>
      <c r="J103" s="42">
        <f>'Dados Detalhados'!$L$1000</f>
        <v>366.67</v>
      </c>
      <c r="K103" s="42">
        <f>'Dados Detalhados'!$L$1000</f>
        <v>366.67</v>
      </c>
      <c r="L103" s="42">
        <f>'Dados Detalhados'!$L$1000</f>
        <v>366.67</v>
      </c>
      <c r="M103" s="42">
        <f>'Dados Detalhados'!$L$1000</f>
        <v>366.67</v>
      </c>
      <c r="N103" s="42">
        <f>'Dados Detalhados'!$L$1000</f>
        <v>366.67</v>
      </c>
      <c r="O103" s="78">
        <f t="shared" si="2"/>
        <v>1833.3500000000001</v>
      </c>
      <c r="P103" s="78">
        <v>366.67</v>
      </c>
      <c r="Q103" s="78">
        <f t="shared" si="3"/>
        <v>0</v>
      </c>
      <c r="R103" s="37">
        <v>2</v>
      </c>
      <c r="S103" s="11" t="s">
        <v>70</v>
      </c>
      <c r="T103" s="8"/>
    </row>
    <row r="104" spans="1:20" ht="52.5" hidden="1" customHeight="1">
      <c r="A104" s="12">
        <v>97</v>
      </c>
      <c r="B104" s="10" t="s">
        <v>68</v>
      </c>
      <c r="C104" s="14" t="s">
        <v>67</v>
      </c>
      <c r="D104" s="15">
        <v>1</v>
      </c>
      <c r="E104" s="8" t="s">
        <v>42</v>
      </c>
      <c r="F104" s="8">
        <v>4</v>
      </c>
      <c r="G104" s="67" t="s">
        <v>405</v>
      </c>
      <c r="H104" s="5" t="s">
        <v>295</v>
      </c>
      <c r="I104" s="28" t="s">
        <v>41</v>
      </c>
      <c r="J104" s="42">
        <f>'Dados Detalhados'!$L$1006</f>
        <v>1878</v>
      </c>
      <c r="K104" s="42">
        <f>'Dados Detalhados'!$L$1007</f>
        <v>943</v>
      </c>
      <c r="L104" s="42">
        <f>'Dados Detalhados'!$L$1008</f>
        <v>951</v>
      </c>
      <c r="M104" s="42">
        <f>'Dados Detalhados'!$L$1009</f>
        <v>963</v>
      </c>
      <c r="N104" s="42">
        <f>'Dados Detalhados'!$L$1010</f>
        <v>975</v>
      </c>
      <c r="O104" s="78">
        <f t="shared" si="2"/>
        <v>5710</v>
      </c>
      <c r="P104" s="78">
        <v>975</v>
      </c>
      <c r="Q104" s="78">
        <f t="shared" si="3"/>
        <v>0</v>
      </c>
      <c r="R104" s="37">
        <v>1</v>
      </c>
      <c r="S104" s="11" t="s">
        <v>68</v>
      </c>
      <c r="T104" s="8"/>
    </row>
    <row r="105" spans="1:20" ht="52.5" hidden="1" customHeight="1">
      <c r="A105" s="12">
        <v>98</v>
      </c>
      <c r="B105" s="13" t="s">
        <v>66</v>
      </c>
      <c r="C105" s="13" t="s">
        <v>65</v>
      </c>
      <c r="D105" s="15">
        <v>1</v>
      </c>
      <c r="E105" s="8" t="s">
        <v>42</v>
      </c>
      <c r="F105" s="8">
        <v>4</v>
      </c>
      <c r="G105" s="67" t="s">
        <v>405</v>
      </c>
      <c r="H105" s="7" t="s">
        <v>294</v>
      </c>
      <c r="I105" s="28" t="s">
        <v>41</v>
      </c>
      <c r="J105" s="42"/>
      <c r="K105" s="47">
        <f>'Dados Detalhados'!$L$1011</f>
        <v>1262.48</v>
      </c>
      <c r="L105" s="47">
        <f>'Dados Detalhados'!$L$1011</f>
        <v>1262.48</v>
      </c>
      <c r="M105" s="47">
        <f>'Dados Detalhados'!$L$1011</f>
        <v>1262.48</v>
      </c>
      <c r="N105" s="47">
        <f>'Dados Detalhados'!$L$1011</f>
        <v>1262.48</v>
      </c>
      <c r="O105" s="78">
        <f t="shared" si="2"/>
        <v>5049.92</v>
      </c>
      <c r="P105" s="78">
        <v>1262.48</v>
      </c>
      <c r="Q105" s="78">
        <f t="shared" si="3"/>
        <v>0</v>
      </c>
      <c r="R105" s="37">
        <v>1</v>
      </c>
      <c r="S105" s="1" t="s">
        <v>66</v>
      </c>
      <c r="T105" s="8"/>
    </row>
    <row r="106" spans="1:20" ht="52.5" hidden="1" customHeight="1">
      <c r="A106" s="12">
        <v>99</v>
      </c>
      <c r="B106" s="10" t="s">
        <v>64</v>
      </c>
      <c r="C106" s="10" t="s">
        <v>63</v>
      </c>
      <c r="D106" s="15">
        <v>1</v>
      </c>
      <c r="E106" s="8" t="s">
        <v>42</v>
      </c>
      <c r="F106" s="8">
        <v>4</v>
      </c>
      <c r="G106" s="67" t="s">
        <v>406</v>
      </c>
      <c r="H106" s="9"/>
      <c r="I106" s="28" t="s">
        <v>41</v>
      </c>
      <c r="J106" s="42">
        <f>'Dados Detalhados'!$L$1013</f>
        <v>0</v>
      </c>
      <c r="K106" s="42">
        <f>'Dados Detalhados'!$L$1013</f>
        <v>0</v>
      </c>
      <c r="L106" s="42">
        <f>'Dados Detalhados'!$L$1013</f>
        <v>0</v>
      </c>
      <c r="M106" s="42">
        <f>'Dados Detalhados'!$L$1013</f>
        <v>0</v>
      </c>
      <c r="N106" s="42">
        <f>'Dados Detalhados'!$L$1013</f>
        <v>0</v>
      </c>
      <c r="O106" s="78">
        <f t="shared" si="2"/>
        <v>0</v>
      </c>
      <c r="P106" s="78">
        <v>0</v>
      </c>
      <c r="Q106" s="78">
        <f t="shared" si="3"/>
        <v>0</v>
      </c>
      <c r="R106" s="37">
        <v>2</v>
      </c>
      <c r="S106" s="11" t="s">
        <v>64</v>
      </c>
      <c r="T106" s="8"/>
    </row>
    <row r="107" spans="1:20" ht="52.5" hidden="1" customHeight="1">
      <c r="A107" s="12">
        <v>100</v>
      </c>
      <c r="B107" s="10" t="s">
        <v>62</v>
      </c>
      <c r="C107" s="10" t="s">
        <v>61</v>
      </c>
      <c r="D107" s="15">
        <v>1</v>
      </c>
      <c r="E107" s="8" t="s">
        <v>42</v>
      </c>
      <c r="F107" s="8">
        <v>4</v>
      </c>
      <c r="G107" s="67" t="s">
        <v>406</v>
      </c>
      <c r="H107" s="9" t="s">
        <v>293</v>
      </c>
      <c r="I107" s="28" t="s">
        <v>41</v>
      </c>
      <c r="J107" s="42">
        <f>'Dados Detalhados'!$L$1016</f>
        <v>0</v>
      </c>
      <c r="K107" s="42">
        <f>'Dados Detalhados'!$L$1016</f>
        <v>0</v>
      </c>
      <c r="L107" s="42">
        <f>'Dados Detalhados'!$L$1016</f>
        <v>0</v>
      </c>
      <c r="M107" s="42">
        <f>'Dados Detalhados'!$L$1016</f>
        <v>0</v>
      </c>
      <c r="N107" s="42">
        <f>'Dados Detalhados'!$L$1016</f>
        <v>0</v>
      </c>
      <c r="O107" s="78">
        <f t="shared" si="2"/>
        <v>0</v>
      </c>
      <c r="P107" s="78">
        <v>0</v>
      </c>
      <c r="Q107" s="78">
        <f t="shared" si="3"/>
        <v>0</v>
      </c>
      <c r="R107" s="37">
        <v>2</v>
      </c>
      <c r="S107" s="11" t="s">
        <v>62</v>
      </c>
      <c r="T107" s="8"/>
    </row>
    <row r="108" spans="1:20" ht="52.5" hidden="1" customHeight="1">
      <c r="A108" s="12">
        <v>101</v>
      </c>
      <c r="B108" s="10" t="s">
        <v>60</v>
      </c>
      <c r="C108" s="10" t="s">
        <v>59</v>
      </c>
      <c r="D108" s="15">
        <v>1</v>
      </c>
      <c r="E108" s="8" t="s">
        <v>42</v>
      </c>
      <c r="F108" s="8">
        <v>4</v>
      </c>
      <c r="G108" s="67" t="s">
        <v>405</v>
      </c>
      <c r="H108" s="9" t="s">
        <v>292</v>
      </c>
      <c r="I108" s="28" t="s">
        <v>41</v>
      </c>
      <c r="J108" s="42">
        <f>'Dados Detalhados'!$L$1021</f>
        <v>0</v>
      </c>
      <c r="K108" s="42">
        <f>'Dados Detalhados'!$L$1022</f>
        <v>2598.5216</v>
      </c>
      <c r="L108" s="42">
        <f>'Dados Detalhados'!$L$1023</f>
        <v>2621.6928999999996</v>
      </c>
      <c r="M108" s="42">
        <f>'Dados Detalhados'!$L$1024</f>
        <v>2621.6928999999996</v>
      </c>
      <c r="N108" s="42">
        <f>'Dados Detalhados'!$L$1025</f>
        <v>2621.6928999999996</v>
      </c>
      <c r="O108" s="78">
        <f t="shared" si="2"/>
        <v>10463.6003</v>
      </c>
      <c r="P108" s="78">
        <v>2621.6928999999996</v>
      </c>
      <c r="Q108" s="78">
        <f t="shared" si="3"/>
        <v>0</v>
      </c>
      <c r="R108" s="37">
        <v>1</v>
      </c>
      <c r="S108" s="11" t="s">
        <v>60</v>
      </c>
      <c r="T108" s="8"/>
    </row>
    <row r="109" spans="1:20" ht="52.5" hidden="1" customHeight="1">
      <c r="A109" s="12">
        <v>102</v>
      </c>
      <c r="B109" s="14" t="s">
        <v>58</v>
      </c>
      <c r="C109" s="14" t="s">
        <v>57</v>
      </c>
      <c r="D109" s="15">
        <v>1</v>
      </c>
      <c r="E109" s="8" t="s">
        <v>42</v>
      </c>
      <c r="F109" s="8">
        <v>4</v>
      </c>
      <c r="G109" s="67" t="s">
        <v>405</v>
      </c>
      <c r="H109" s="5" t="s">
        <v>291</v>
      </c>
      <c r="I109" s="28" t="s">
        <v>41</v>
      </c>
      <c r="J109" s="42">
        <f>'Dados Detalhados'!$L$1026</f>
        <v>0</v>
      </c>
      <c r="K109" s="42">
        <f>'Dados Detalhados'!$L$1026</f>
        <v>0</v>
      </c>
      <c r="L109" s="42">
        <f>'Dados Detalhados'!$L$1026</f>
        <v>0</v>
      </c>
      <c r="M109" s="42">
        <f>'Dados Detalhados'!$L$1026</f>
        <v>0</v>
      </c>
      <c r="N109" s="42">
        <f>'Dados Detalhados'!$L$1026</f>
        <v>0</v>
      </c>
      <c r="O109" s="78">
        <f t="shared" si="2"/>
        <v>0</v>
      </c>
      <c r="P109" s="78">
        <v>0</v>
      </c>
      <c r="Q109" s="78">
        <f t="shared" si="3"/>
        <v>0</v>
      </c>
      <c r="R109" s="37">
        <v>1</v>
      </c>
      <c r="S109" s="11" t="s">
        <v>58</v>
      </c>
      <c r="T109" s="8"/>
    </row>
    <row r="110" spans="1:20" ht="52.5" hidden="1" customHeight="1">
      <c r="A110" s="12">
        <v>103</v>
      </c>
      <c r="B110" s="10" t="s">
        <v>56</v>
      </c>
      <c r="C110" s="14" t="s">
        <v>55</v>
      </c>
      <c r="D110" s="15">
        <v>1</v>
      </c>
      <c r="E110" s="8" t="s">
        <v>42</v>
      </c>
      <c r="F110" s="8">
        <v>4</v>
      </c>
      <c r="G110" s="67" t="s">
        <v>406</v>
      </c>
      <c r="H110" s="5"/>
      <c r="I110" s="28" t="s">
        <v>41</v>
      </c>
      <c r="J110" s="42">
        <v>0</v>
      </c>
      <c r="K110" s="47">
        <f>'Dados Detalhados'!$L$1029</f>
        <v>9994.2199999999993</v>
      </c>
      <c r="L110" s="43">
        <v>0</v>
      </c>
      <c r="M110" s="43">
        <v>0</v>
      </c>
      <c r="N110" s="43">
        <v>0</v>
      </c>
      <c r="O110" s="78">
        <f t="shared" si="2"/>
        <v>9994.2199999999993</v>
      </c>
      <c r="P110" s="78">
        <v>0</v>
      </c>
      <c r="Q110" s="78">
        <f t="shared" si="3"/>
        <v>0</v>
      </c>
      <c r="R110" s="37">
        <v>2</v>
      </c>
      <c r="S110" s="11" t="s">
        <v>56</v>
      </c>
      <c r="T110" s="8"/>
    </row>
    <row r="111" spans="1:20" ht="52.5" hidden="1" customHeight="1">
      <c r="A111" s="12">
        <v>104</v>
      </c>
      <c r="B111" s="10" t="s">
        <v>54</v>
      </c>
      <c r="C111" s="14" t="s">
        <v>53</v>
      </c>
      <c r="D111" s="15">
        <v>1</v>
      </c>
      <c r="E111" s="8" t="s">
        <v>42</v>
      </c>
      <c r="F111" s="8">
        <v>4</v>
      </c>
      <c r="G111" s="67" t="s">
        <v>406</v>
      </c>
      <c r="H111" s="5"/>
      <c r="I111" s="28" t="s">
        <v>41</v>
      </c>
      <c r="J111" s="42">
        <v>0</v>
      </c>
      <c r="K111" s="47">
        <v>0</v>
      </c>
      <c r="L111" s="43"/>
      <c r="M111" s="43">
        <f>'Dados Detalhados'!$L$1045</f>
        <v>9994.2199999999993</v>
      </c>
      <c r="N111" s="43">
        <v>0</v>
      </c>
      <c r="O111" s="78">
        <f t="shared" si="2"/>
        <v>9994.2199999999993</v>
      </c>
      <c r="P111" s="78">
        <v>0</v>
      </c>
      <c r="Q111" s="78">
        <f t="shared" si="3"/>
        <v>0</v>
      </c>
      <c r="R111" s="37">
        <v>2</v>
      </c>
      <c r="S111" s="11" t="s">
        <v>54</v>
      </c>
      <c r="T111" s="8"/>
    </row>
    <row r="112" spans="1:20" ht="52.5" hidden="1" customHeight="1">
      <c r="A112" s="12">
        <v>105</v>
      </c>
      <c r="B112" s="10" t="s">
        <v>52</v>
      </c>
      <c r="C112" s="14" t="s">
        <v>51</v>
      </c>
      <c r="D112" s="15">
        <v>1</v>
      </c>
      <c r="E112" s="8" t="s">
        <v>42</v>
      </c>
      <c r="F112" s="8">
        <v>4</v>
      </c>
      <c r="G112" s="67" t="s">
        <v>405</v>
      </c>
      <c r="H112" s="5"/>
      <c r="I112" s="28" t="s">
        <v>41</v>
      </c>
      <c r="J112" s="42">
        <f>'Dados Detalhados'!$L$1061</f>
        <v>0</v>
      </c>
      <c r="K112" s="42">
        <f>'Dados Detalhados'!$L$1061</f>
        <v>0</v>
      </c>
      <c r="L112" s="42">
        <f>'Dados Detalhados'!$L$1061</f>
        <v>0</v>
      </c>
      <c r="M112" s="42">
        <f>'Dados Detalhados'!$L$1061</f>
        <v>0</v>
      </c>
      <c r="N112" s="42">
        <f>'Dados Detalhados'!$L$1061</f>
        <v>0</v>
      </c>
      <c r="O112" s="78">
        <f t="shared" si="2"/>
        <v>0</v>
      </c>
      <c r="P112" s="78">
        <v>0</v>
      </c>
      <c r="Q112" s="78">
        <f t="shared" si="3"/>
        <v>0</v>
      </c>
      <c r="R112" s="37">
        <v>1</v>
      </c>
      <c r="S112" s="11" t="s">
        <v>52</v>
      </c>
      <c r="T112" s="8"/>
    </row>
    <row r="113" spans="1:20" ht="52.5" hidden="1" customHeight="1">
      <c r="A113" s="12">
        <v>106</v>
      </c>
      <c r="B113" s="10" t="s">
        <v>50</v>
      </c>
      <c r="C113" s="14" t="s">
        <v>49</v>
      </c>
      <c r="D113" s="15">
        <v>1</v>
      </c>
      <c r="E113" s="8" t="s">
        <v>42</v>
      </c>
      <c r="F113" s="8">
        <v>4</v>
      </c>
      <c r="G113" s="67" t="s">
        <v>405</v>
      </c>
      <c r="H113" s="5"/>
      <c r="I113" s="28" t="s">
        <v>41</v>
      </c>
      <c r="J113" s="42">
        <f>'Dados Detalhados'!$L$1063</f>
        <v>0</v>
      </c>
      <c r="K113" s="42">
        <f>'Dados Detalhados'!$L$1063</f>
        <v>0</v>
      </c>
      <c r="L113" s="42">
        <f>'Dados Detalhados'!$L$1063</f>
        <v>0</v>
      </c>
      <c r="M113" s="42">
        <f>'Dados Detalhados'!$L$1063</f>
        <v>0</v>
      </c>
      <c r="N113" s="42">
        <f>'Dados Detalhados'!$L$1063</f>
        <v>0</v>
      </c>
      <c r="O113" s="78">
        <f t="shared" si="2"/>
        <v>0</v>
      </c>
      <c r="P113" s="78">
        <v>0</v>
      </c>
      <c r="Q113" s="78">
        <f t="shared" si="3"/>
        <v>0</v>
      </c>
      <c r="R113" s="37">
        <v>1</v>
      </c>
      <c r="S113" s="11" t="s">
        <v>50</v>
      </c>
      <c r="T113" s="8"/>
    </row>
    <row r="114" spans="1:20" ht="52.5" hidden="1" customHeight="1">
      <c r="A114" s="12">
        <v>107</v>
      </c>
      <c r="B114" s="10" t="s">
        <v>48</v>
      </c>
      <c r="C114" s="14" t="s">
        <v>47</v>
      </c>
      <c r="D114" s="15">
        <v>1</v>
      </c>
      <c r="E114" s="8" t="s">
        <v>42</v>
      </c>
      <c r="F114" s="8">
        <v>4</v>
      </c>
      <c r="G114" s="67" t="s">
        <v>405</v>
      </c>
      <c r="H114" s="5"/>
      <c r="I114" s="28" t="s">
        <v>41</v>
      </c>
      <c r="J114" s="42">
        <f>'Dados Detalhados'!$L$1065</f>
        <v>0</v>
      </c>
      <c r="K114" s="42">
        <f>'Dados Detalhados'!$L$1065</f>
        <v>0</v>
      </c>
      <c r="L114" s="42">
        <f>'Dados Detalhados'!$L$1065</f>
        <v>0</v>
      </c>
      <c r="M114" s="42">
        <f>'Dados Detalhados'!$L$1065</f>
        <v>0</v>
      </c>
      <c r="N114" s="42">
        <f>'Dados Detalhados'!$L$1065</f>
        <v>0</v>
      </c>
      <c r="O114" s="78">
        <f t="shared" si="2"/>
        <v>0</v>
      </c>
      <c r="P114" s="78">
        <v>0</v>
      </c>
      <c r="Q114" s="78">
        <f t="shared" si="3"/>
        <v>0</v>
      </c>
      <c r="R114" s="37">
        <v>1</v>
      </c>
      <c r="S114" s="11" t="s">
        <v>48</v>
      </c>
      <c r="T114" s="8"/>
    </row>
    <row r="115" spans="1:20" ht="52.5" hidden="1" customHeight="1">
      <c r="A115" s="12">
        <v>108</v>
      </c>
      <c r="B115" s="10" t="s">
        <v>46</v>
      </c>
      <c r="C115" s="14" t="s">
        <v>45</v>
      </c>
      <c r="D115" s="15">
        <v>1</v>
      </c>
      <c r="E115" s="8" t="s">
        <v>42</v>
      </c>
      <c r="F115" s="8">
        <v>4</v>
      </c>
      <c r="G115" s="67" t="s">
        <v>406</v>
      </c>
      <c r="H115" s="5"/>
      <c r="I115" s="28" t="s">
        <v>41</v>
      </c>
      <c r="J115" s="42">
        <f>'Dados Detalhados'!$L$1067</f>
        <v>2000</v>
      </c>
      <c r="K115" s="42">
        <f>'Dados Detalhados'!$L$1067</f>
        <v>2000</v>
      </c>
      <c r="L115" s="42">
        <f>'Dados Detalhados'!$L$1067</f>
        <v>2000</v>
      </c>
      <c r="M115" s="42">
        <f>'Dados Detalhados'!$L$1067</f>
        <v>2000</v>
      </c>
      <c r="N115" s="42">
        <f>'Dados Detalhados'!$L$1067</f>
        <v>2000</v>
      </c>
      <c r="O115" s="78">
        <f t="shared" si="2"/>
        <v>10000</v>
      </c>
      <c r="P115" s="78">
        <v>2000</v>
      </c>
      <c r="Q115" s="78">
        <f t="shared" si="3"/>
        <v>0</v>
      </c>
      <c r="R115" s="37">
        <v>2</v>
      </c>
      <c r="S115" s="11" t="s">
        <v>46</v>
      </c>
      <c r="T115" s="8"/>
    </row>
    <row r="116" spans="1:20" ht="52.5" hidden="1" customHeight="1">
      <c r="A116" s="12">
        <v>109</v>
      </c>
      <c r="B116" s="26" t="s">
        <v>44</v>
      </c>
      <c r="C116" s="14" t="s">
        <v>43</v>
      </c>
      <c r="D116" s="15">
        <v>1</v>
      </c>
      <c r="E116" s="8" t="s">
        <v>42</v>
      </c>
      <c r="F116" s="8">
        <v>4</v>
      </c>
      <c r="G116" s="67" t="s">
        <v>406</v>
      </c>
      <c r="H116" s="5"/>
      <c r="I116" s="28" t="s">
        <v>41</v>
      </c>
      <c r="J116" s="42">
        <v>0</v>
      </c>
      <c r="K116" s="47">
        <f>'Dados Detalhados'!$L$1069</f>
        <v>9830.6575000000012</v>
      </c>
      <c r="L116" s="43">
        <v>0</v>
      </c>
      <c r="M116" s="43">
        <v>0</v>
      </c>
      <c r="N116" s="43">
        <v>0</v>
      </c>
      <c r="O116" s="78">
        <f t="shared" si="2"/>
        <v>9830.6575000000012</v>
      </c>
      <c r="P116" s="78">
        <v>0</v>
      </c>
      <c r="Q116" s="78">
        <f t="shared" si="3"/>
        <v>0</v>
      </c>
      <c r="R116" s="37">
        <v>2</v>
      </c>
      <c r="S116" s="30" t="s">
        <v>44</v>
      </c>
      <c r="T116" s="8"/>
    </row>
    <row r="117" spans="1:20" ht="52.5" customHeight="1">
      <c r="A117" s="12">
        <v>110</v>
      </c>
      <c r="B117" s="10" t="s">
        <v>40</v>
      </c>
      <c r="C117" s="14" t="s">
        <v>39</v>
      </c>
      <c r="D117" s="6">
        <v>1</v>
      </c>
      <c r="E117" s="8" t="s">
        <v>4</v>
      </c>
      <c r="F117" s="8">
        <v>5</v>
      </c>
      <c r="G117" s="66" t="s">
        <v>410</v>
      </c>
      <c r="H117" s="5" t="s">
        <v>290</v>
      </c>
      <c r="I117" s="28" t="s">
        <v>3</v>
      </c>
      <c r="J117" s="42">
        <v>0</v>
      </c>
      <c r="K117" s="47">
        <v>0</v>
      </c>
      <c r="L117" s="43">
        <v>0</v>
      </c>
      <c r="M117" s="43">
        <f>'Dados Detalhados'!$L$1097</f>
        <v>2070.59</v>
      </c>
      <c r="N117" s="43">
        <v>0</v>
      </c>
      <c r="O117" s="78">
        <f t="shared" si="2"/>
        <v>2070.59</v>
      </c>
      <c r="P117" s="78">
        <v>0</v>
      </c>
      <c r="Q117" s="78">
        <f t="shared" si="3"/>
        <v>0</v>
      </c>
      <c r="R117" s="54">
        <v>5</v>
      </c>
      <c r="S117" s="11" t="s">
        <v>40</v>
      </c>
      <c r="T117" s="8"/>
    </row>
    <row r="118" spans="1:20" ht="52.5" customHeight="1">
      <c r="A118" s="12">
        <v>111</v>
      </c>
      <c r="B118" s="10" t="s">
        <v>38</v>
      </c>
      <c r="C118" s="14" t="s">
        <v>37</v>
      </c>
      <c r="D118" s="6">
        <v>1</v>
      </c>
      <c r="E118" s="8" t="s">
        <v>4</v>
      </c>
      <c r="F118" s="8">
        <v>5</v>
      </c>
      <c r="G118" s="66" t="s">
        <v>410</v>
      </c>
      <c r="H118" s="5" t="s">
        <v>289</v>
      </c>
      <c r="I118" s="28" t="s">
        <v>3</v>
      </c>
      <c r="J118" s="42">
        <v>0</v>
      </c>
      <c r="K118" s="83">
        <f>'Dados Detalhados'!$L$1110</f>
        <v>42999.999999999993</v>
      </c>
      <c r="L118" s="43">
        <v>0</v>
      </c>
      <c r="M118" s="43">
        <v>0</v>
      </c>
      <c r="N118" s="43">
        <v>0</v>
      </c>
      <c r="O118" s="78">
        <f t="shared" si="2"/>
        <v>42999.999999999993</v>
      </c>
      <c r="P118" s="78">
        <v>0</v>
      </c>
      <c r="Q118" s="78">
        <f t="shared" si="3"/>
        <v>0</v>
      </c>
      <c r="R118" s="54">
        <v>5</v>
      </c>
      <c r="S118" s="11" t="s">
        <v>38</v>
      </c>
      <c r="T118" s="8"/>
    </row>
    <row r="119" spans="1:20" ht="52.5" customHeight="1">
      <c r="A119" s="12">
        <v>112</v>
      </c>
      <c r="B119" s="10" t="s">
        <v>36</v>
      </c>
      <c r="C119" s="14" t="s">
        <v>35</v>
      </c>
      <c r="D119" s="6">
        <v>2</v>
      </c>
      <c r="E119" s="8" t="s">
        <v>4</v>
      </c>
      <c r="F119" s="8">
        <v>5</v>
      </c>
      <c r="G119" s="66" t="s">
        <v>410</v>
      </c>
      <c r="H119" s="5" t="s">
        <v>288</v>
      </c>
      <c r="I119" s="28" t="s">
        <v>3</v>
      </c>
      <c r="J119" s="42">
        <v>0</v>
      </c>
      <c r="K119" s="47">
        <v>0</v>
      </c>
      <c r="L119" s="43">
        <f>'Dados Detalhados'!$L$1138</f>
        <v>4411.3900000000003</v>
      </c>
      <c r="M119" s="43">
        <f>'Dados Detalhados'!$L$1138</f>
        <v>4411.3900000000003</v>
      </c>
      <c r="N119" s="43">
        <v>0</v>
      </c>
      <c r="O119" s="78">
        <f t="shared" si="2"/>
        <v>8822.7800000000007</v>
      </c>
      <c r="P119" s="78">
        <v>0</v>
      </c>
      <c r="Q119" s="78">
        <f t="shared" si="3"/>
        <v>0</v>
      </c>
      <c r="R119" s="54">
        <v>5</v>
      </c>
      <c r="S119" s="11" t="s">
        <v>36</v>
      </c>
      <c r="T119" s="8"/>
    </row>
    <row r="120" spans="1:20" ht="52.5" hidden="1" customHeight="1">
      <c r="A120" s="12">
        <v>113</v>
      </c>
      <c r="B120" s="10" t="s">
        <v>33</v>
      </c>
      <c r="C120" s="14" t="s">
        <v>32</v>
      </c>
      <c r="D120" s="6">
        <v>1</v>
      </c>
      <c r="E120" s="8" t="s">
        <v>4</v>
      </c>
      <c r="F120" s="8">
        <v>5</v>
      </c>
      <c r="G120" s="66" t="s">
        <v>407</v>
      </c>
      <c r="H120" s="9" t="s">
        <v>288</v>
      </c>
      <c r="I120" s="28" t="s">
        <v>3</v>
      </c>
      <c r="J120" s="42">
        <v>0</v>
      </c>
      <c r="K120" s="47"/>
      <c r="L120" s="47">
        <f>'Dados Detalhados'!$L$1154</f>
        <v>38152</v>
      </c>
      <c r="M120" s="43">
        <v>0</v>
      </c>
      <c r="N120" s="43">
        <v>0</v>
      </c>
      <c r="O120" s="78">
        <f t="shared" si="2"/>
        <v>38152</v>
      </c>
      <c r="P120" s="78">
        <v>0</v>
      </c>
      <c r="Q120" s="78">
        <f t="shared" si="3"/>
        <v>0</v>
      </c>
      <c r="R120" s="54">
        <v>1</v>
      </c>
      <c r="S120" s="11" t="s">
        <v>34</v>
      </c>
      <c r="T120" s="8"/>
    </row>
    <row r="121" spans="1:20" ht="52.5" hidden="1" customHeight="1">
      <c r="A121" s="12">
        <v>114</v>
      </c>
      <c r="B121" s="10" t="s">
        <v>31</v>
      </c>
      <c r="C121" s="14" t="s">
        <v>30</v>
      </c>
      <c r="D121" s="6">
        <v>1</v>
      </c>
      <c r="E121" s="8" t="s">
        <v>4</v>
      </c>
      <c r="F121" s="8">
        <v>5</v>
      </c>
      <c r="G121" s="66" t="s">
        <v>407</v>
      </c>
      <c r="H121" s="5" t="s">
        <v>287</v>
      </c>
      <c r="I121" s="28" t="s">
        <v>3</v>
      </c>
      <c r="J121" s="42">
        <f>'Dados Detalhados'!$L$1160</f>
        <v>0</v>
      </c>
      <c r="K121" s="42">
        <f>'Dados Detalhados'!$L$1161</f>
        <v>563554.69999999995</v>
      </c>
      <c r="L121" s="42">
        <f>'Dados Detalhados'!$L$1162</f>
        <v>563554.69999999995</v>
      </c>
      <c r="M121" s="42">
        <f>'Dados Detalhados'!$L$1163</f>
        <v>0</v>
      </c>
      <c r="N121" s="42">
        <f>'Dados Detalhados'!$L$1164</f>
        <v>0</v>
      </c>
      <c r="O121" s="78">
        <f t="shared" si="2"/>
        <v>1127109.3999999999</v>
      </c>
      <c r="P121" s="78">
        <v>0</v>
      </c>
      <c r="Q121" s="78">
        <f t="shared" si="3"/>
        <v>0</v>
      </c>
      <c r="R121" s="54">
        <v>1</v>
      </c>
      <c r="S121" s="11" t="s">
        <v>31</v>
      </c>
      <c r="T121" s="8"/>
    </row>
    <row r="122" spans="1:20" ht="52.5" hidden="1" customHeight="1">
      <c r="A122" s="12">
        <v>115</v>
      </c>
      <c r="B122" s="10" t="s">
        <v>29</v>
      </c>
      <c r="C122" s="59" t="s">
        <v>28</v>
      </c>
      <c r="D122" s="58">
        <v>1</v>
      </c>
      <c r="E122" s="57" t="s">
        <v>4</v>
      </c>
      <c r="F122" s="8">
        <v>5</v>
      </c>
      <c r="G122" s="66" t="s">
        <v>407</v>
      </c>
      <c r="H122" s="5" t="s">
        <v>286</v>
      </c>
      <c r="I122" s="28" t="s">
        <v>3</v>
      </c>
      <c r="J122" s="22">
        <f>'Dados Detalhados'!$L$1166</f>
        <v>0</v>
      </c>
      <c r="K122" s="22">
        <f>'Dados Detalhados'!$L$1167</f>
        <v>0</v>
      </c>
      <c r="L122" s="22">
        <f>'Dados Detalhados'!$L$1168</f>
        <v>35499.599999999999</v>
      </c>
      <c r="M122" s="22">
        <f>'Dados Detalhados'!$L$1169</f>
        <v>21897</v>
      </c>
      <c r="N122" s="22">
        <f>'Dados Detalhados'!$L$1170</f>
        <v>22942</v>
      </c>
      <c r="O122" s="78">
        <f t="shared" si="2"/>
        <v>80338.600000000006</v>
      </c>
      <c r="P122" s="78">
        <v>22942</v>
      </c>
      <c r="Q122" s="78">
        <f t="shared" si="3"/>
        <v>0</v>
      </c>
      <c r="R122" s="54">
        <v>1</v>
      </c>
      <c r="S122" s="11" t="s">
        <v>29</v>
      </c>
      <c r="T122" s="8"/>
    </row>
    <row r="123" spans="1:20" ht="52.5" hidden="1" customHeight="1">
      <c r="A123" s="12">
        <v>116</v>
      </c>
      <c r="B123" s="11" t="s">
        <v>27</v>
      </c>
      <c r="C123" s="11" t="s">
        <v>26</v>
      </c>
      <c r="D123" s="6">
        <v>1</v>
      </c>
      <c r="E123" s="8" t="s">
        <v>4</v>
      </c>
      <c r="F123" s="8">
        <v>5</v>
      </c>
      <c r="G123" s="66" t="s">
        <v>407</v>
      </c>
      <c r="H123" s="5" t="s">
        <v>286</v>
      </c>
      <c r="I123" s="28" t="s">
        <v>3</v>
      </c>
      <c r="J123" s="22">
        <f>'Dados Detalhados'!$L$1172</f>
        <v>0</v>
      </c>
      <c r="K123" s="22">
        <f>'Dados Detalhados'!$L$1173</f>
        <v>0</v>
      </c>
      <c r="L123" s="22">
        <f>'Dados Detalhados'!$L$1174</f>
        <v>12480</v>
      </c>
      <c r="M123" s="22">
        <f>'Dados Detalhados'!$L$1175</f>
        <v>14400</v>
      </c>
      <c r="N123" s="22">
        <f>'Dados Detalhados'!$L$1176</f>
        <v>19680</v>
      </c>
      <c r="O123" s="78">
        <f t="shared" si="2"/>
        <v>46560</v>
      </c>
      <c r="P123" s="78">
        <v>19680</v>
      </c>
      <c r="Q123" s="78">
        <f t="shared" si="3"/>
        <v>0</v>
      </c>
      <c r="R123" s="54">
        <v>1</v>
      </c>
      <c r="S123" s="11" t="s">
        <v>27</v>
      </c>
      <c r="T123" s="8"/>
    </row>
    <row r="124" spans="1:20" ht="52.5" hidden="1" customHeight="1">
      <c r="A124" s="12">
        <v>117</v>
      </c>
      <c r="B124" s="11" t="s">
        <v>25</v>
      </c>
      <c r="C124" s="11" t="s">
        <v>24</v>
      </c>
      <c r="D124" s="6">
        <v>1</v>
      </c>
      <c r="E124" s="8" t="s">
        <v>4</v>
      </c>
      <c r="F124" s="8">
        <v>5</v>
      </c>
      <c r="G124" s="66" t="s">
        <v>407</v>
      </c>
      <c r="H124" s="5" t="s">
        <v>285</v>
      </c>
      <c r="I124" s="28" t="s">
        <v>3</v>
      </c>
      <c r="J124" s="42">
        <f>'Dados Detalhados'!$L$1177</f>
        <v>1003.33</v>
      </c>
      <c r="K124" s="42">
        <f>'Dados Detalhados'!$L$1177</f>
        <v>1003.33</v>
      </c>
      <c r="L124" s="42">
        <f>'Dados Detalhados'!$L$1177</f>
        <v>1003.33</v>
      </c>
      <c r="M124" s="42">
        <f>'Dados Detalhados'!$L$1177</f>
        <v>1003.33</v>
      </c>
      <c r="N124" s="42">
        <f>'Dados Detalhados'!$L$1177</f>
        <v>1003.33</v>
      </c>
      <c r="O124" s="78">
        <f t="shared" si="2"/>
        <v>5016.6500000000005</v>
      </c>
      <c r="P124" s="78">
        <v>1003.33</v>
      </c>
      <c r="Q124" s="78">
        <f t="shared" si="3"/>
        <v>0</v>
      </c>
      <c r="R124" s="54">
        <v>1</v>
      </c>
      <c r="S124" s="11" t="s">
        <v>25</v>
      </c>
      <c r="T124" s="8"/>
    </row>
    <row r="125" spans="1:20" ht="52.5" customHeight="1">
      <c r="A125" s="12">
        <v>118</v>
      </c>
      <c r="B125" s="1" t="s">
        <v>23</v>
      </c>
      <c r="C125" s="1" t="s">
        <v>22</v>
      </c>
      <c r="D125" s="6">
        <v>2</v>
      </c>
      <c r="E125" s="8" t="s">
        <v>4</v>
      </c>
      <c r="F125" s="8">
        <v>5</v>
      </c>
      <c r="G125" s="66" t="s">
        <v>410</v>
      </c>
      <c r="H125" s="7" t="s">
        <v>284</v>
      </c>
      <c r="I125" s="28" t="s">
        <v>3</v>
      </c>
      <c r="J125" s="42">
        <f>'Dados Detalhados'!$L$1179</f>
        <v>0</v>
      </c>
      <c r="K125" s="42">
        <f>'Dados Detalhados'!$L$1179</f>
        <v>0</v>
      </c>
      <c r="L125" s="42">
        <f>'Dados Detalhados'!$L$1179</f>
        <v>0</v>
      </c>
      <c r="M125" s="42">
        <f>'Dados Detalhados'!$L$1179</f>
        <v>0</v>
      </c>
      <c r="N125" s="42">
        <f>'Dados Detalhados'!$L$1179</f>
        <v>0</v>
      </c>
      <c r="O125" s="78">
        <f t="shared" si="2"/>
        <v>0</v>
      </c>
      <c r="P125" s="78">
        <v>0</v>
      </c>
      <c r="Q125" s="78">
        <f t="shared" si="3"/>
        <v>0</v>
      </c>
      <c r="R125" s="54">
        <v>5</v>
      </c>
      <c r="S125" s="1" t="s">
        <v>23</v>
      </c>
      <c r="T125" s="8"/>
    </row>
    <row r="126" spans="1:20" ht="52.5" hidden="1" customHeight="1">
      <c r="A126" s="12">
        <v>119</v>
      </c>
      <c r="B126" s="11" t="s">
        <v>21</v>
      </c>
      <c r="C126" s="11" t="s">
        <v>20</v>
      </c>
      <c r="D126" s="6">
        <v>1</v>
      </c>
      <c r="E126" s="8" t="s">
        <v>4</v>
      </c>
      <c r="F126" s="8">
        <v>5</v>
      </c>
      <c r="G126" s="66" t="s">
        <v>402</v>
      </c>
      <c r="H126" s="5" t="s">
        <v>283</v>
      </c>
      <c r="I126" s="28" t="s">
        <v>3</v>
      </c>
      <c r="J126" s="42">
        <f>'Dados Detalhados'!$L$1183</f>
        <v>7269</v>
      </c>
      <c r="K126" s="42">
        <f>'Dados Detalhados'!$L$1184</f>
        <v>16515</v>
      </c>
      <c r="L126" s="42">
        <f>'Dados Detalhados'!$L$1185</f>
        <v>19345</v>
      </c>
      <c r="M126" s="42">
        <f>'Dados Detalhados'!$L$1186</f>
        <v>19674</v>
      </c>
      <c r="N126" s="42">
        <f>'Dados Detalhados'!$L$1187</f>
        <v>35363</v>
      </c>
      <c r="O126" s="78">
        <f t="shared" si="2"/>
        <v>98166</v>
      </c>
      <c r="P126" s="78">
        <v>35363</v>
      </c>
      <c r="Q126" s="78">
        <f t="shared" si="3"/>
        <v>0</v>
      </c>
      <c r="R126" s="54">
        <v>2</v>
      </c>
      <c r="S126" s="11" t="s">
        <v>21</v>
      </c>
      <c r="T126" s="8"/>
    </row>
    <row r="127" spans="1:20" ht="52.5" hidden="1" customHeight="1">
      <c r="A127" s="12"/>
      <c r="B127" s="11" t="s">
        <v>854</v>
      </c>
      <c r="C127" s="11" t="s">
        <v>855</v>
      </c>
      <c r="D127" s="6"/>
      <c r="E127" s="8" t="s">
        <v>4</v>
      </c>
      <c r="F127" s="8">
        <v>6</v>
      </c>
      <c r="G127" s="66" t="s">
        <v>402</v>
      </c>
      <c r="H127" s="5"/>
      <c r="I127" s="28"/>
      <c r="J127" s="42">
        <f>'Dados Detalhados'!$L$1188</f>
        <v>238.1</v>
      </c>
      <c r="K127" s="42">
        <f>'Dados Detalhados'!$L$1188</f>
        <v>238.1</v>
      </c>
      <c r="L127" s="42">
        <f>'Dados Detalhados'!$L$1188</f>
        <v>238.1</v>
      </c>
      <c r="M127" s="42">
        <f>'Dados Detalhados'!$L$1188</f>
        <v>238.1</v>
      </c>
      <c r="N127" s="42">
        <f>'Dados Detalhados'!$L$1188</f>
        <v>238.1</v>
      </c>
      <c r="O127" s="78">
        <f t="shared" si="2"/>
        <v>1190.5</v>
      </c>
      <c r="P127" s="78">
        <v>238.1</v>
      </c>
      <c r="Q127" s="78">
        <f t="shared" si="3"/>
        <v>0</v>
      </c>
      <c r="R127" s="54"/>
      <c r="S127" s="11"/>
      <c r="T127" s="8"/>
    </row>
    <row r="128" spans="1:20" ht="52.5" hidden="1" customHeight="1">
      <c r="A128" s="12">
        <v>120</v>
      </c>
      <c r="B128" s="11" t="s">
        <v>19</v>
      </c>
      <c r="C128" s="11" t="s">
        <v>18</v>
      </c>
      <c r="D128" s="6">
        <v>3</v>
      </c>
      <c r="E128" s="8" t="s">
        <v>4</v>
      </c>
      <c r="F128" s="8">
        <v>5</v>
      </c>
      <c r="G128" s="66" t="s">
        <v>402</v>
      </c>
      <c r="H128" s="5" t="s">
        <v>281</v>
      </c>
      <c r="I128" s="28" t="s">
        <v>3</v>
      </c>
      <c r="J128" s="42">
        <f>'Dados Detalhados'!$L$1193</f>
        <v>9523.81</v>
      </c>
      <c r="K128" s="42">
        <f>'Dados Detalhados'!$L$1193</f>
        <v>9523.81</v>
      </c>
      <c r="L128" s="42">
        <f>'Dados Detalhados'!$L$1193</f>
        <v>9523.81</v>
      </c>
      <c r="M128" s="42">
        <f>'Dados Detalhados'!$L$1193</f>
        <v>9523.81</v>
      </c>
      <c r="N128" s="42">
        <f>'Dados Detalhados'!$L$1193</f>
        <v>9523.81</v>
      </c>
      <c r="O128" s="78">
        <f t="shared" si="2"/>
        <v>47619.049999999996</v>
      </c>
      <c r="P128" s="78">
        <v>9523.81</v>
      </c>
      <c r="Q128" s="78">
        <f t="shared" si="3"/>
        <v>0</v>
      </c>
      <c r="R128" s="54">
        <v>2</v>
      </c>
      <c r="S128" s="11" t="s">
        <v>19</v>
      </c>
      <c r="T128" s="8"/>
    </row>
    <row r="129" spans="1:21" ht="52.5" customHeight="1">
      <c r="A129" s="12">
        <v>121</v>
      </c>
      <c r="B129" s="11" t="s">
        <v>17</v>
      </c>
      <c r="C129" s="11" t="s">
        <v>16</v>
      </c>
      <c r="D129" s="6">
        <v>1</v>
      </c>
      <c r="E129" s="8" t="s">
        <v>4</v>
      </c>
      <c r="F129" s="8">
        <v>5</v>
      </c>
      <c r="G129" s="66" t="s">
        <v>410</v>
      </c>
      <c r="H129" s="5" t="s">
        <v>280</v>
      </c>
      <c r="I129" s="28" t="s">
        <v>3</v>
      </c>
      <c r="J129" s="42">
        <f>'Dados Detalhados'!$L$1200</f>
        <v>0</v>
      </c>
      <c r="K129" s="42">
        <f>'Dados Detalhados'!$L$1201</f>
        <v>7060.05</v>
      </c>
      <c r="L129" s="42">
        <f>'Dados Detalhados'!$L$1202</f>
        <v>1423.33</v>
      </c>
      <c r="M129" s="42">
        <f>'Dados Detalhados'!$L$1203</f>
        <v>1423.33</v>
      </c>
      <c r="N129" s="42">
        <f>'Dados Detalhados'!$L$1204</f>
        <v>1423.33</v>
      </c>
      <c r="O129" s="78">
        <f t="shared" si="2"/>
        <v>11330.04</v>
      </c>
      <c r="P129" s="78">
        <v>1423.33</v>
      </c>
      <c r="Q129" s="78">
        <f t="shared" si="3"/>
        <v>0</v>
      </c>
      <c r="R129" s="54">
        <v>5</v>
      </c>
      <c r="S129" s="11" t="s">
        <v>17</v>
      </c>
      <c r="T129" s="8"/>
    </row>
    <row r="130" spans="1:21" ht="52.5" customHeight="1">
      <c r="A130" s="12">
        <v>122</v>
      </c>
      <c r="B130" s="11" t="s">
        <v>15</v>
      </c>
      <c r="C130" s="11" t="s">
        <v>14</v>
      </c>
      <c r="D130" s="6">
        <v>1</v>
      </c>
      <c r="E130" s="8" t="s">
        <v>4</v>
      </c>
      <c r="F130" s="8">
        <v>5</v>
      </c>
      <c r="G130" s="66" t="s">
        <v>410</v>
      </c>
      <c r="H130" s="5" t="s">
        <v>279</v>
      </c>
      <c r="I130" s="28" t="s">
        <v>3</v>
      </c>
      <c r="J130" s="42">
        <f>'Dados Detalhados'!$L$1205</f>
        <v>747.33</v>
      </c>
      <c r="K130" s="42">
        <f>'Dados Detalhados'!$L$1205</f>
        <v>747.33</v>
      </c>
      <c r="L130" s="42">
        <f>'Dados Detalhados'!$L$1205</f>
        <v>747.33</v>
      </c>
      <c r="M130" s="42">
        <f>'Dados Detalhados'!$L$1205</f>
        <v>747.33</v>
      </c>
      <c r="N130" s="42">
        <f>'Dados Detalhados'!$L$1205</f>
        <v>747.33</v>
      </c>
      <c r="O130" s="78">
        <f t="shared" si="2"/>
        <v>3736.65</v>
      </c>
      <c r="P130" s="78">
        <v>747.33</v>
      </c>
      <c r="Q130" s="78">
        <f t="shared" si="3"/>
        <v>0</v>
      </c>
      <c r="R130" s="54">
        <v>5</v>
      </c>
      <c r="S130" s="11" t="s">
        <v>15</v>
      </c>
      <c r="T130" s="8"/>
    </row>
    <row r="131" spans="1:21" ht="52.5" hidden="1" customHeight="1">
      <c r="A131" s="12">
        <v>123</v>
      </c>
      <c r="B131" s="11" t="s">
        <v>13</v>
      </c>
      <c r="C131" s="11" t="s">
        <v>12</v>
      </c>
      <c r="D131" s="6">
        <v>1</v>
      </c>
      <c r="E131" s="8" t="s">
        <v>4</v>
      </c>
      <c r="F131" s="8">
        <v>5</v>
      </c>
      <c r="G131" s="66" t="s">
        <v>407</v>
      </c>
      <c r="H131" s="9"/>
      <c r="I131" s="28" t="s">
        <v>3</v>
      </c>
      <c r="J131" s="42">
        <f>'Dados Detalhados'!$L$1208</f>
        <v>0</v>
      </c>
      <c r="K131" s="42">
        <f>'Dados Detalhados'!$L$1208</f>
        <v>0</v>
      </c>
      <c r="L131" s="42">
        <f>'Dados Detalhados'!$L$1208</f>
        <v>0</v>
      </c>
      <c r="M131" s="42">
        <f>'Dados Detalhados'!$L$1208</f>
        <v>0</v>
      </c>
      <c r="N131" s="42">
        <f>'Dados Detalhados'!$L$1208</f>
        <v>0</v>
      </c>
      <c r="O131" s="78">
        <f t="shared" si="2"/>
        <v>0</v>
      </c>
      <c r="P131" s="78">
        <v>0</v>
      </c>
      <c r="Q131" s="78">
        <f t="shared" si="3"/>
        <v>0</v>
      </c>
      <c r="R131" s="54">
        <v>1</v>
      </c>
      <c r="S131" s="11" t="s">
        <v>13</v>
      </c>
      <c r="T131" s="8"/>
    </row>
    <row r="132" spans="1:21" ht="52.5" customHeight="1">
      <c r="A132" s="12">
        <v>124</v>
      </c>
      <c r="B132" s="11" t="s">
        <v>11</v>
      </c>
      <c r="C132" s="11" t="s">
        <v>10</v>
      </c>
      <c r="D132" s="6">
        <v>2</v>
      </c>
      <c r="E132" s="8" t="s">
        <v>4</v>
      </c>
      <c r="F132" s="8">
        <v>5</v>
      </c>
      <c r="G132" s="66" t="s">
        <v>410</v>
      </c>
      <c r="H132" s="9"/>
      <c r="I132" s="28" t="s">
        <v>3</v>
      </c>
      <c r="J132" s="42">
        <f>'Dados Detalhados'!$L$1210</f>
        <v>0</v>
      </c>
      <c r="K132" s="42">
        <f>'Dados Detalhados'!$L$1210</f>
        <v>0</v>
      </c>
      <c r="L132" s="42">
        <f>'Dados Detalhados'!$L$1210</f>
        <v>0</v>
      </c>
      <c r="M132" s="42">
        <f>'Dados Detalhados'!$L$1210</f>
        <v>0</v>
      </c>
      <c r="N132" s="42">
        <f>'Dados Detalhados'!$L$1210</f>
        <v>0</v>
      </c>
      <c r="O132" s="78">
        <f t="shared" si="2"/>
        <v>0</v>
      </c>
      <c r="P132" s="78">
        <v>0</v>
      </c>
      <c r="Q132" s="78">
        <f t="shared" si="3"/>
        <v>0</v>
      </c>
      <c r="R132" s="54">
        <v>5</v>
      </c>
      <c r="S132" s="11" t="s">
        <v>11</v>
      </c>
      <c r="T132" s="8"/>
    </row>
    <row r="133" spans="1:21" ht="52.5" hidden="1" customHeight="1">
      <c r="A133" s="12">
        <v>125</v>
      </c>
      <c r="B133" s="11" t="s">
        <v>9</v>
      </c>
      <c r="C133" s="11" t="s">
        <v>8</v>
      </c>
      <c r="D133" s="6">
        <v>1</v>
      </c>
      <c r="E133" s="8" t="s">
        <v>4</v>
      </c>
      <c r="F133" s="8">
        <v>5</v>
      </c>
      <c r="G133" s="66" t="s">
        <v>402</v>
      </c>
      <c r="H133" s="9"/>
      <c r="I133" s="28" t="s">
        <v>3</v>
      </c>
      <c r="J133" s="42">
        <f>'Dados Detalhados'!$L$1213</f>
        <v>0</v>
      </c>
      <c r="K133" s="42">
        <f>'Dados Detalhados'!$L$1214</f>
        <v>0</v>
      </c>
      <c r="L133" s="42">
        <f>'Dados Detalhados'!$L$1215</f>
        <v>30000</v>
      </c>
      <c r="M133" s="42">
        <f>'Dados Detalhados'!$L$1216</f>
        <v>0</v>
      </c>
      <c r="N133" s="42">
        <f>'Dados Detalhados'!$L$1217</f>
        <v>0</v>
      </c>
      <c r="O133" s="78">
        <f t="shared" si="2"/>
        <v>30000</v>
      </c>
      <c r="P133" s="78">
        <v>0</v>
      </c>
      <c r="Q133" s="78">
        <f t="shared" si="3"/>
        <v>0</v>
      </c>
      <c r="R133" s="54">
        <v>2</v>
      </c>
      <c r="S133" s="11" t="s">
        <v>9</v>
      </c>
      <c r="T133" s="8"/>
    </row>
    <row r="134" spans="1:21" ht="61.5" hidden="1" customHeight="1">
      <c r="A134" s="12">
        <v>126</v>
      </c>
      <c r="B134" s="11" t="s">
        <v>7</v>
      </c>
      <c r="C134" s="11" t="s">
        <v>364</v>
      </c>
      <c r="D134" s="6">
        <v>1</v>
      </c>
      <c r="E134" s="8" t="s">
        <v>4</v>
      </c>
      <c r="F134" s="8">
        <v>5</v>
      </c>
      <c r="G134" s="66" t="s">
        <v>402</v>
      </c>
      <c r="H134" s="9"/>
      <c r="I134" s="28" t="s">
        <v>3</v>
      </c>
      <c r="J134" s="42">
        <f>'Dados Detalhados'!$L$1218</f>
        <v>11013.44</v>
      </c>
      <c r="K134" s="42"/>
      <c r="L134" s="42">
        <f>'Dados Detalhados'!$L$1218</f>
        <v>11013.44</v>
      </c>
      <c r="M134" s="43">
        <v>0</v>
      </c>
      <c r="N134" s="43">
        <v>0</v>
      </c>
      <c r="O134" s="78">
        <f t="shared" ref="O134:O159" si="4">SUM(J134:N134)</f>
        <v>22026.880000000001</v>
      </c>
      <c r="P134" s="78">
        <v>0</v>
      </c>
      <c r="Q134" s="78">
        <f t="shared" ref="Q134:Q159" si="5">+N134-P134</f>
        <v>0</v>
      </c>
      <c r="R134" s="54">
        <v>2</v>
      </c>
      <c r="S134" s="11" t="s">
        <v>7</v>
      </c>
      <c r="T134" s="8"/>
    </row>
    <row r="135" spans="1:21" ht="52.5" customHeight="1">
      <c r="A135" s="12">
        <v>127</v>
      </c>
      <c r="B135" s="11" t="s">
        <v>6</v>
      </c>
      <c r="C135" s="52" t="s">
        <v>386</v>
      </c>
      <c r="D135" s="6">
        <v>1</v>
      </c>
      <c r="E135" s="33" t="s">
        <v>4</v>
      </c>
      <c r="F135" s="8">
        <v>5</v>
      </c>
      <c r="G135" s="66" t="s">
        <v>410</v>
      </c>
      <c r="H135" s="55"/>
      <c r="I135" s="50" t="s">
        <v>3</v>
      </c>
      <c r="J135" s="69">
        <f>'Dados Detalhados'!$L$1234</f>
        <v>152.30000000000001</v>
      </c>
      <c r="K135" s="69">
        <f>'Dados Detalhados'!$L$1234</f>
        <v>152.30000000000001</v>
      </c>
      <c r="L135" s="69">
        <f>'Dados Detalhados'!$L$1234</f>
        <v>152.30000000000001</v>
      </c>
      <c r="M135" s="69">
        <f>'Dados Detalhados'!$L$1234</f>
        <v>152.30000000000001</v>
      </c>
      <c r="N135" s="69">
        <f>'Dados Detalhados'!$L$1234</f>
        <v>152.30000000000001</v>
      </c>
      <c r="O135" s="78">
        <f t="shared" si="4"/>
        <v>761.5</v>
      </c>
      <c r="P135" s="78">
        <v>152.30000000000001</v>
      </c>
      <c r="Q135" s="78">
        <f t="shared" si="5"/>
        <v>0</v>
      </c>
      <c r="R135" s="54">
        <v>5</v>
      </c>
      <c r="S135" s="11" t="s">
        <v>6</v>
      </c>
      <c r="T135" s="25"/>
    </row>
    <row r="136" spans="1:21" ht="52.5" customHeight="1">
      <c r="A136" s="12">
        <v>128</v>
      </c>
      <c r="B136" s="11" t="s">
        <v>5</v>
      </c>
      <c r="C136" s="52" t="s">
        <v>373</v>
      </c>
      <c r="D136" s="56"/>
      <c r="E136" s="33" t="s">
        <v>4</v>
      </c>
      <c r="F136" s="8">
        <v>5</v>
      </c>
      <c r="G136" s="66" t="s">
        <v>410</v>
      </c>
      <c r="H136" s="55"/>
      <c r="I136" s="50" t="s">
        <v>3</v>
      </c>
      <c r="J136" s="69">
        <f>'Dados Detalhados'!$L$1237</f>
        <v>44304</v>
      </c>
      <c r="K136" s="69">
        <f>'Dados Detalhados'!$L$1238</f>
        <v>0</v>
      </c>
      <c r="L136" s="69">
        <f>'Dados Detalhados'!$L$1239</f>
        <v>22152</v>
      </c>
      <c r="M136" s="69">
        <f>'Dados Detalhados'!$L$1240</f>
        <v>0</v>
      </c>
      <c r="N136" s="69">
        <f>'Dados Detalhados'!$L$1241</f>
        <v>0</v>
      </c>
      <c r="O136" s="78">
        <f t="shared" si="4"/>
        <v>66456</v>
      </c>
      <c r="P136" s="78">
        <v>0</v>
      </c>
      <c r="Q136" s="78">
        <f t="shared" si="5"/>
        <v>0</v>
      </c>
      <c r="R136" s="54">
        <v>5</v>
      </c>
      <c r="S136" s="11" t="s">
        <v>5</v>
      </c>
      <c r="T136" s="25"/>
    </row>
    <row r="137" spans="1:21" ht="52.5" hidden="1" customHeight="1">
      <c r="A137" s="12">
        <v>129</v>
      </c>
      <c r="B137" s="11" t="s">
        <v>341</v>
      </c>
      <c r="C137" s="52" t="s">
        <v>374</v>
      </c>
      <c r="D137" s="56"/>
      <c r="E137" s="33" t="s">
        <v>4</v>
      </c>
      <c r="F137" s="8">
        <v>5</v>
      </c>
      <c r="G137" s="66" t="s">
        <v>407</v>
      </c>
      <c r="H137" s="55"/>
      <c r="I137" s="50" t="s">
        <v>3</v>
      </c>
      <c r="J137" s="69">
        <f>'Dados Detalhados'!$L$1247</f>
        <v>0</v>
      </c>
      <c r="K137" s="69">
        <f>'Dados Detalhados'!$L$1248</f>
        <v>4352.2555555555555</v>
      </c>
      <c r="L137" s="69">
        <f>'Dados Detalhados'!$L$1249</f>
        <v>0</v>
      </c>
      <c r="M137" s="69">
        <f>'Dados Detalhados'!$L$1250</f>
        <v>0</v>
      </c>
      <c r="N137" s="69">
        <f>'Dados Detalhados'!$L$1251</f>
        <v>0</v>
      </c>
      <c r="O137" s="78">
        <f t="shared" si="4"/>
        <v>4352.2555555555555</v>
      </c>
      <c r="P137" s="78">
        <v>0</v>
      </c>
      <c r="Q137" s="78">
        <f t="shared" si="5"/>
        <v>0</v>
      </c>
      <c r="R137" s="54">
        <v>1</v>
      </c>
      <c r="S137" s="11" t="s">
        <v>341</v>
      </c>
      <c r="T137" s="25"/>
    </row>
    <row r="138" spans="1:21" ht="52.5" hidden="1" customHeight="1">
      <c r="A138" s="12">
        <v>130</v>
      </c>
      <c r="B138" s="11" t="s">
        <v>342</v>
      </c>
      <c r="C138" s="52" t="s">
        <v>375</v>
      </c>
      <c r="D138" s="56">
        <v>1</v>
      </c>
      <c r="E138" s="33" t="s">
        <v>4</v>
      </c>
      <c r="F138" s="8">
        <v>5</v>
      </c>
      <c r="G138" s="66" t="s">
        <v>407</v>
      </c>
      <c r="H138" s="55"/>
      <c r="I138" s="50" t="s">
        <v>3</v>
      </c>
      <c r="J138" s="69">
        <f>'Dados Detalhados'!$L$1268</f>
        <v>750</v>
      </c>
      <c r="K138" s="69">
        <f>'Dados Detalhados'!$L$1269</f>
        <v>750</v>
      </c>
      <c r="L138" s="69">
        <f>'Dados Detalhados'!$L$1270</f>
        <v>750</v>
      </c>
      <c r="M138" s="69">
        <f>'Dados Detalhados'!$L$1271</f>
        <v>750</v>
      </c>
      <c r="N138" s="69">
        <f>'Dados Detalhados'!$L$1272</f>
        <v>750</v>
      </c>
      <c r="O138" s="78">
        <f t="shared" si="4"/>
        <v>3750</v>
      </c>
      <c r="P138" s="78">
        <v>750</v>
      </c>
      <c r="Q138" s="78">
        <f t="shared" si="5"/>
        <v>0</v>
      </c>
      <c r="R138" s="54">
        <v>1</v>
      </c>
      <c r="S138" s="11" t="s">
        <v>342</v>
      </c>
      <c r="T138" s="25"/>
    </row>
    <row r="139" spans="1:21" ht="52.5" hidden="1" customHeight="1">
      <c r="A139" s="12">
        <v>131</v>
      </c>
      <c r="B139" s="11" t="s">
        <v>343</v>
      </c>
      <c r="C139" s="52" t="s">
        <v>376</v>
      </c>
      <c r="D139" s="56">
        <v>1</v>
      </c>
      <c r="E139" s="33" t="s">
        <v>4</v>
      </c>
      <c r="F139" s="8">
        <v>5</v>
      </c>
      <c r="G139" s="66" t="s">
        <v>402</v>
      </c>
      <c r="H139" s="55"/>
      <c r="I139" s="50" t="s">
        <v>3</v>
      </c>
      <c r="J139" s="69">
        <f>'Dados Detalhados'!$L$1274</f>
        <v>0</v>
      </c>
      <c r="K139" s="69">
        <f>'Dados Detalhados'!$L$1275</f>
        <v>0</v>
      </c>
      <c r="L139" s="69">
        <f>'Dados Detalhados'!$L$1276</f>
        <v>0</v>
      </c>
      <c r="M139" s="69">
        <f>'Dados Detalhados'!$L$1277</f>
        <v>0</v>
      </c>
      <c r="N139" s="69">
        <f>'Dados Detalhados'!$L$1278</f>
        <v>0</v>
      </c>
      <c r="O139" s="78">
        <f t="shared" si="4"/>
        <v>0</v>
      </c>
      <c r="P139" s="78">
        <v>0</v>
      </c>
      <c r="Q139" s="78">
        <f t="shared" si="5"/>
        <v>0</v>
      </c>
      <c r="R139" s="54">
        <v>2</v>
      </c>
      <c r="S139" s="11" t="s">
        <v>343</v>
      </c>
      <c r="T139" s="25"/>
    </row>
    <row r="140" spans="1:21" ht="52.5" hidden="1" customHeight="1">
      <c r="A140" s="12">
        <v>132</v>
      </c>
      <c r="B140" s="11" t="s">
        <v>344</v>
      </c>
      <c r="C140" s="52" t="s">
        <v>385</v>
      </c>
      <c r="D140" s="56">
        <v>1</v>
      </c>
      <c r="E140" s="33" t="s">
        <v>4</v>
      </c>
      <c r="F140" s="8">
        <v>5</v>
      </c>
      <c r="G140" s="66" t="s">
        <v>402</v>
      </c>
      <c r="H140" s="55"/>
      <c r="I140" s="50" t="s">
        <v>3</v>
      </c>
      <c r="J140" s="69">
        <f>'Dados Detalhados'!$L$1280</f>
        <v>6103.6111111111113</v>
      </c>
      <c r="K140" s="69">
        <f>'Dados Detalhados'!$L$1281</f>
        <v>6103.6111111111113</v>
      </c>
      <c r="L140" s="69">
        <f>'Dados Detalhados'!$L$1282</f>
        <v>6103.6111111111113</v>
      </c>
      <c r="M140" s="69">
        <f>'Dados Detalhados'!$L$1283</f>
        <v>6103.6111111111113</v>
      </c>
      <c r="N140" s="69">
        <f>'Dados Detalhados'!$L$1284</f>
        <v>6103.6111111111113</v>
      </c>
      <c r="O140" s="78">
        <f t="shared" si="4"/>
        <v>30518.055555555555</v>
      </c>
      <c r="P140" s="78">
        <v>6103.6</v>
      </c>
      <c r="Q140" s="78">
        <f t="shared" si="5"/>
        <v>1.1111111110949423E-2</v>
      </c>
      <c r="R140" s="54">
        <v>2</v>
      </c>
      <c r="S140" s="11" t="s">
        <v>344</v>
      </c>
      <c r="T140" s="25"/>
    </row>
    <row r="141" spans="1:21" ht="52.5" hidden="1" customHeight="1">
      <c r="A141" s="12">
        <v>133</v>
      </c>
      <c r="B141" s="11" t="s">
        <v>345</v>
      </c>
      <c r="C141" s="52" t="s">
        <v>377</v>
      </c>
      <c r="D141" s="56">
        <v>1</v>
      </c>
      <c r="E141" s="33" t="s">
        <v>4</v>
      </c>
      <c r="F141" s="8">
        <v>5</v>
      </c>
      <c r="G141" s="66" t="s">
        <v>402</v>
      </c>
      <c r="H141" s="55"/>
      <c r="I141" s="50" t="s">
        <v>3</v>
      </c>
      <c r="J141" s="69">
        <f>'Dados Detalhados'!$L$1287</f>
        <v>0</v>
      </c>
      <c r="K141" s="69">
        <f>'Dados Detalhados'!$L$1288</f>
        <v>0</v>
      </c>
      <c r="L141" s="69">
        <f>'Dados Detalhados'!$L$1289</f>
        <v>0</v>
      </c>
      <c r="M141" s="69">
        <f>'Dados Detalhados'!$L$1290</f>
        <v>0</v>
      </c>
      <c r="N141" s="69">
        <f>'Dados Detalhados'!$L$1291</f>
        <v>0</v>
      </c>
      <c r="O141" s="78">
        <f t="shared" si="4"/>
        <v>0</v>
      </c>
      <c r="P141" s="78">
        <v>0</v>
      </c>
      <c r="Q141" s="78">
        <f t="shared" si="5"/>
        <v>0</v>
      </c>
      <c r="R141" s="54">
        <v>2</v>
      </c>
      <c r="S141" s="11" t="s">
        <v>345</v>
      </c>
      <c r="T141" s="25"/>
    </row>
    <row r="142" spans="1:21" ht="52.5" hidden="1" customHeight="1">
      <c r="A142" s="12">
        <v>134</v>
      </c>
      <c r="B142" s="11" t="s">
        <v>346</v>
      </c>
      <c r="C142" s="52" t="s">
        <v>378</v>
      </c>
      <c r="D142" s="56">
        <v>1</v>
      </c>
      <c r="E142" s="33" t="s">
        <v>4</v>
      </c>
      <c r="F142" s="8">
        <v>5</v>
      </c>
      <c r="G142" s="66" t="s">
        <v>402</v>
      </c>
      <c r="H142" s="55"/>
      <c r="I142" s="50" t="s">
        <v>3</v>
      </c>
      <c r="J142" s="69">
        <f>'Dados Detalhados'!$L$1293</f>
        <v>225</v>
      </c>
      <c r="K142" s="69">
        <f>'Dados Detalhados'!$L$1294</f>
        <v>250</v>
      </c>
      <c r="L142" s="69">
        <f>'Dados Detalhados'!$L$1295</f>
        <v>266.66666666666669</v>
      </c>
      <c r="M142" s="69">
        <f>'Dados Detalhados'!$L$1296</f>
        <v>277.77777777777777</v>
      </c>
      <c r="N142" s="69">
        <f>'Dados Detalhados'!$L$1297</f>
        <v>319.44444444444446</v>
      </c>
      <c r="O142" s="78">
        <f t="shared" si="4"/>
        <v>1338.8888888888891</v>
      </c>
      <c r="P142" s="78">
        <v>319.39999999999998</v>
      </c>
      <c r="Q142" s="78">
        <f t="shared" si="5"/>
        <v>4.4444444444479814E-2</v>
      </c>
      <c r="R142" s="54">
        <v>2</v>
      </c>
      <c r="S142" s="11" t="s">
        <v>346</v>
      </c>
      <c r="T142" s="25"/>
    </row>
    <row r="143" spans="1:21" s="4" customFormat="1" ht="52.5" hidden="1" customHeight="1">
      <c r="A143" s="12">
        <v>135</v>
      </c>
      <c r="B143" s="11" t="s">
        <v>347</v>
      </c>
      <c r="C143" s="52" t="s">
        <v>379</v>
      </c>
      <c r="D143" s="56">
        <v>1</v>
      </c>
      <c r="E143" s="33" t="s">
        <v>4</v>
      </c>
      <c r="F143" s="8">
        <v>5</v>
      </c>
      <c r="G143" s="66" t="s">
        <v>402</v>
      </c>
      <c r="H143" s="55"/>
      <c r="I143" s="50" t="s">
        <v>3</v>
      </c>
      <c r="J143" s="69">
        <f>'Dados Detalhados'!$L$1305</f>
        <v>4608</v>
      </c>
      <c r="K143" s="69">
        <f>'Dados Detalhados'!$L$1306</f>
        <v>4608</v>
      </c>
      <c r="L143" s="69">
        <f>'Dados Detalhados'!$L$1307</f>
        <v>4608</v>
      </c>
      <c r="M143" s="69">
        <f>'Dados Detalhados'!$L$1308</f>
        <v>4608</v>
      </c>
      <c r="N143" s="69">
        <f>'Dados Detalhados'!$L$1309</f>
        <v>4608</v>
      </c>
      <c r="O143" s="78">
        <f t="shared" si="4"/>
        <v>23040</v>
      </c>
      <c r="P143" s="78">
        <v>4608</v>
      </c>
      <c r="Q143" s="78">
        <f t="shared" si="5"/>
        <v>0</v>
      </c>
      <c r="R143" s="54">
        <v>2</v>
      </c>
      <c r="S143" s="11" t="s">
        <v>347</v>
      </c>
      <c r="T143" s="25"/>
      <c r="U143" s="2"/>
    </row>
    <row r="144" spans="1:21" s="4" customFormat="1" ht="61.5" hidden="1" customHeight="1">
      <c r="A144" s="12">
        <v>136</v>
      </c>
      <c r="B144" s="11" t="s">
        <v>348</v>
      </c>
      <c r="C144" s="52" t="s">
        <v>384</v>
      </c>
      <c r="D144" s="56">
        <v>1</v>
      </c>
      <c r="E144" s="33" t="s">
        <v>4</v>
      </c>
      <c r="F144" s="8">
        <v>5</v>
      </c>
      <c r="G144" s="66" t="s">
        <v>409</v>
      </c>
      <c r="H144" s="5" t="s">
        <v>282</v>
      </c>
      <c r="I144" s="50" t="s">
        <v>3</v>
      </c>
      <c r="J144" s="69">
        <f>'Dados Detalhados'!$L$1312</f>
        <v>2796.6</v>
      </c>
      <c r="K144" s="69">
        <f>'Dados Detalhados'!$L$1313</f>
        <v>2720.6</v>
      </c>
      <c r="L144" s="69">
        <f>'Dados Detalhados'!$L$1314</f>
        <v>2720.6</v>
      </c>
      <c r="M144" s="69">
        <f>'Dados Detalhados'!$L$1315</f>
        <v>2720.6</v>
      </c>
      <c r="N144" s="69">
        <f>'Dados Detalhados'!$L$1316</f>
        <v>2780.3</v>
      </c>
      <c r="O144" s="78">
        <f t="shared" si="4"/>
        <v>13738.7</v>
      </c>
      <c r="P144" s="78">
        <v>2780.3</v>
      </c>
      <c r="Q144" s="78">
        <f t="shared" si="5"/>
        <v>0</v>
      </c>
      <c r="R144" s="54">
        <v>4</v>
      </c>
      <c r="S144" s="11" t="s">
        <v>348</v>
      </c>
      <c r="T144" s="25"/>
      <c r="U144" s="2"/>
    </row>
    <row r="145" spans="1:21" s="4" customFormat="1" ht="52.5" hidden="1" customHeight="1">
      <c r="A145" s="12">
        <v>137</v>
      </c>
      <c r="B145" s="11" t="s">
        <v>349</v>
      </c>
      <c r="C145" s="52" t="s">
        <v>380</v>
      </c>
      <c r="D145" s="56">
        <v>1</v>
      </c>
      <c r="E145" s="33" t="s">
        <v>4</v>
      </c>
      <c r="F145" s="8">
        <v>5</v>
      </c>
      <c r="G145" s="66" t="s">
        <v>402</v>
      </c>
      <c r="H145" s="55"/>
      <c r="I145" s="50" t="s">
        <v>3</v>
      </c>
      <c r="J145" s="69">
        <f>'Dados Detalhados'!$L$1318</f>
        <v>5584.7</v>
      </c>
      <c r="K145" s="69">
        <f>'Dados Detalhados'!$L$1319</f>
        <v>5584.7</v>
      </c>
      <c r="L145" s="69">
        <f>'Dados Detalhados'!$L$1320</f>
        <v>5584.7</v>
      </c>
      <c r="M145" s="69">
        <f>'Dados Detalhados'!$L$1321</f>
        <v>5584.7</v>
      </c>
      <c r="N145" s="69">
        <f>'Dados Detalhados'!$L$1322</f>
        <v>5584.7</v>
      </c>
      <c r="O145" s="78">
        <f t="shared" si="4"/>
        <v>27923.5</v>
      </c>
      <c r="P145" s="78">
        <v>5584.7</v>
      </c>
      <c r="Q145" s="78">
        <f t="shared" si="5"/>
        <v>0</v>
      </c>
      <c r="R145" s="54">
        <v>2</v>
      </c>
      <c r="S145" s="11" t="s">
        <v>349</v>
      </c>
      <c r="T145" s="25"/>
      <c r="U145" s="2"/>
    </row>
    <row r="146" spans="1:21" s="4" customFormat="1" ht="52.5" customHeight="1">
      <c r="A146" s="12">
        <v>138</v>
      </c>
      <c r="B146" s="11" t="s">
        <v>350</v>
      </c>
      <c r="C146" s="52" t="s">
        <v>381</v>
      </c>
      <c r="D146" s="56">
        <v>1</v>
      </c>
      <c r="E146" s="33" t="s">
        <v>4</v>
      </c>
      <c r="F146" s="8">
        <v>5</v>
      </c>
      <c r="G146" s="66" t="s">
        <v>410</v>
      </c>
      <c r="H146" s="55"/>
      <c r="I146" s="50" t="s">
        <v>3</v>
      </c>
      <c r="J146" s="69">
        <f>'Dados Detalhados'!$L$1324</f>
        <v>4048.3</v>
      </c>
      <c r="K146" s="69">
        <f>'Dados Detalhados'!$L$1325</f>
        <v>0</v>
      </c>
      <c r="L146" s="69">
        <f>'Dados Detalhados'!$L$1326</f>
        <v>0</v>
      </c>
      <c r="M146" s="69">
        <f>'Dados Detalhados'!$L$1327</f>
        <v>0</v>
      </c>
      <c r="N146" s="69">
        <f>'Dados Detalhados'!$L$1328</f>
        <v>0</v>
      </c>
      <c r="O146" s="78">
        <f t="shared" si="4"/>
        <v>4048.3</v>
      </c>
      <c r="P146" s="78">
        <v>0</v>
      </c>
      <c r="Q146" s="78">
        <f t="shared" si="5"/>
        <v>0</v>
      </c>
      <c r="R146" s="54">
        <v>5</v>
      </c>
      <c r="S146" s="11" t="s">
        <v>350</v>
      </c>
      <c r="T146" s="25"/>
      <c r="U146" s="2"/>
    </row>
    <row r="147" spans="1:21" s="4" customFormat="1" ht="52.5" customHeight="1">
      <c r="A147" s="12">
        <v>139</v>
      </c>
      <c r="B147" s="11" t="s">
        <v>351</v>
      </c>
      <c r="C147" s="52" t="s">
        <v>382</v>
      </c>
      <c r="D147" s="56">
        <v>2</v>
      </c>
      <c r="E147" s="33" t="s">
        <v>4</v>
      </c>
      <c r="F147" s="8">
        <v>5</v>
      </c>
      <c r="G147" s="66" t="s">
        <v>410</v>
      </c>
      <c r="H147" s="55"/>
      <c r="I147" s="50" t="s">
        <v>3</v>
      </c>
      <c r="J147" s="69">
        <f>'Dados Detalhados'!$L$1330</f>
        <v>6686.0555555555557</v>
      </c>
      <c r="K147" s="69">
        <f>'Dados Detalhados'!$L$1331</f>
        <v>6686.0555555555557</v>
      </c>
      <c r="L147" s="69">
        <f>'Dados Detalhados'!$L$1332</f>
        <v>0</v>
      </c>
      <c r="M147" s="69">
        <f>'Dados Detalhados'!$L$1333</f>
        <v>0</v>
      </c>
      <c r="N147" s="69">
        <f>'Dados Detalhados'!$L$1334</f>
        <v>0</v>
      </c>
      <c r="O147" s="78">
        <f t="shared" si="4"/>
        <v>13372.111111111111</v>
      </c>
      <c r="P147" s="78">
        <v>0</v>
      </c>
      <c r="Q147" s="78">
        <f t="shared" si="5"/>
        <v>0</v>
      </c>
      <c r="R147" s="54">
        <v>5</v>
      </c>
      <c r="S147" s="11" t="s">
        <v>351</v>
      </c>
      <c r="T147" s="25"/>
      <c r="U147" s="2"/>
    </row>
    <row r="148" spans="1:21" s="4" customFormat="1" ht="52.5" customHeight="1">
      <c r="A148" s="12">
        <v>140</v>
      </c>
      <c r="B148" s="11" t="s">
        <v>352</v>
      </c>
      <c r="C148" s="52" t="s">
        <v>383</v>
      </c>
      <c r="D148" s="56">
        <v>3</v>
      </c>
      <c r="E148" s="33" t="s">
        <v>4</v>
      </c>
      <c r="F148" s="8">
        <v>5</v>
      </c>
      <c r="G148" s="66" t="s">
        <v>410</v>
      </c>
      <c r="H148" s="55"/>
      <c r="I148" s="50" t="s">
        <v>3</v>
      </c>
      <c r="J148" s="69">
        <f>'Dados Detalhados'!$L$1351</f>
        <v>92.833333333333329</v>
      </c>
      <c r="K148" s="69">
        <f>'Dados Detalhados'!$L$1352</f>
        <v>92.833333333333329</v>
      </c>
      <c r="L148" s="69">
        <f>'Dados Detalhados'!$L$1353</f>
        <v>92.833333333333329</v>
      </c>
      <c r="M148" s="69">
        <f>'Dados Detalhados'!$L$1354</f>
        <v>92.833333333333329</v>
      </c>
      <c r="N148" s="69">
        <f>'Dados Detalhados'!$L$1213</f>
        <v>0</v>
      </c>
      <c r="O148" s="78">
        <f t="shared" si="4"/>
        <v>371.33333333333331</v>
      </c>
      <c r="P148" s="78">
        <v>0</v>
      </c>
      <c r="Q148" s="78">
        <f t="shared" si="5"/>
        <v>0</v>
      </c>
      <c r="R148" s="54">
        <v>5</v>
      </c>
      <c r="S148" s="11" t="s">
        <v>352</v>
      </c>
      <c r="T148" s="25"/>
      <c r="U148" s="2"/>
    </row>
    <row r="149" spans="1:21" s="4" customFormat="1" ht="52.5" customHeight="1">
      <c r="A149" s="12">
        <v>141</v>
      </c>
      <c r="B149" s="11" t="s">
        <v>353</v>
      </c>
      <c r="C149" s="52" t="s">
        <v>369</v>
      </c>
      <c r="D149" s="56">
        <v>1</v>
      </c>
      <c r="E149" s="33" t="s">
        <v>4</v>
      </c>
      <c r="F149" s="8">
        <v>5</v>
      </c>
      <c r="G149" s="66" t="s">
        <v>410</v>
      </c>
      <c r="H149" s="55"/>
      <c r="I149" s="50"/>
      <c r="J149" s="69">
        <f>'Dados Detalhados'!$L$1359</f>
        <v>0</v>
      </c>
      <c r="K149" s="69">
        <f>'Dados Detalhados'!$L$1360</f>
        <v>0</v>
      </c>
      <c r="L149" s="69">
        <f>'Dados Detalhados'!$L$1361</f>
        <v>6502.7564645041803</v>
      </c>
      <c r="M149" s="69">
        <f>'Dados Detalhados'!$L$1362</f>
        <v>0</v>
      </c>
      <c r="N149" s="69">
        <f>'Dados Detalhados'!$L$1363</f>
        <v>0</v>
      </c>
      <c r="O149" s="78">
        <f t="shared" si="4"/>
        <v>6502.7564645041803</v>
      </c>
      <c r="P149" s="78">
        <v>0</v>
      </c>
      <c r="Q149" s="78">
        <f t="shared" si="5"/>
        <v>0</v>
      </c>
      <c r="R149" s="54">
        <v>5</v>
      </c>
      <c r="S149" s="11" t="s">
        <v>353</v>
      </c>
      <c r="T149" s="25"/>
      <c r="U149" s="2"/>
    </row>
    <row r="150" spans="1:21" s="4" customFormat="1" ht="52.5" customHeight="1">
      <c r="A150" s="12">
        <v>142</v>
      </c>
      <c r="B150" s="11" t="s">
        <v>354</v>
      </c>
      <c r="C150" s="52" t="s">
        <v>372</v>
      </c>
      <c r="D150" s="56">
        <v>1</v>
      </c>
      <c r="E150" s="33" t="s">
        <v>4</v>
      </c>
      <c r="F150" s="8">
        <v>5</v>
      </c>
      <c r="G150" s="66" t="s">
        <v>410</v>
      </c>
      <c r="H150" s="55"/>
      <c r="I150" s="50" t="s">
        <v>3</v>
      </c>
      <c r="J150" s="69">
        <f>'Dados Detalhados'!$L$1387</f>
        <v>14028.4</v>
      </c>
      <c r="K150" s="69">
        <f>'Dados Detalhados'!$L$1388</f>
        <v>0</v>
      </c>
      <c r="L150" s="69">
        <f>'Dados Detalhados'!$L$1389</f>
        <v>0</v>
      </c>
      <c r="M150" s="69">
        <f>'Dados Detalhados'!$L$1390</f>
        <v>0</v>
      </c>
      <c r="N150" s="69">
        <f>'Dados Detalhados'!$L$1391</f>
        <v>0</v>
      </c>
      <c r="O150" s="78">
        <f t="shared" si="4"/>
        <v>14028.4</v>
      </c>
      <c r="P150" s="78">
        <v>0</v>
      </c>
      <c r="Q150" s="78">
        <f t="shared" si="5"/>
        <v>0</v>
      </c>
      <c r="R150" s="54">
        <v>5</v>
      </c>
      <c r="S150" s="11" t="s">
        <v>354</v>
      </c>
      <c r="T150" s="25"/>
      <c r="U150" s="2"/>
    </row>
    <row r="151" spans="1:21" s="4" customFormat="1" ht="52.5" customHeight="1">
      <c r="A151" s="12">
        <v>143</v>
      </c>
      <c r="B151" s="11" t="s">
        <v>355</v>
      </c>
      <c r="C151" s="52" t="s">
        <v>371</v>
      </c>
      <c r="D151" s="56">
        <v>1</v>
      </c>
      <c r="E151" s="33" t="s">
        <v>4</v>
      </c>
      <c r="F151" s="8">
        <v>5</v>
      </c>
      <c r="G151" s="66" t="s">
        <v>410</v>
      </c>
      <c r="H151" s="55"/>
      <c r="I151" s="50" t="s">
        <v>3</v>
      </c>
      <c r="J151" s="69">
        <f>'Dados Detalhados'!$L$1393</f>
        <v>0</v>
      </c>
      <c r="K151" s="69">
        <f>'Dados Detalhados'!$L$1394</f>
        <v>0</v>
      </c>
      <c r="L151" s="69">
        <f>'Dados Detalhados'!$L$1395</f>
        <v>0</v>
      </c>
      <c r="M151" s="69">
        <f>'Dados Detalhados'!$L$1396</f>
        <v>0</v>
      </c>
      <c r="N151" s="69">
        <f>'Dados Detalhados'!$L$1397</f>
        <v>0</v>
      </c>
      <c r="O151" s="78">
        <f t="shared" si="4"/>
        <v>0</v>
      </c>
      <c r="P151" s="78">
        <v>0</v>
      </c>
      <c r="Q151" s="78">
        <f t="shared" si="5"/>
        <v>0</v>
      </c>
      <c r="R151" s="54">
        <v>5</v>
      </c>
      <c r="S151" s="11" t="s">
        <v>355</v>
      </c>
      <c r="T151" s="25"/>
      <c r="U151" s="2"/>
    </row>
    <row r="152" spans="1:21" s="4" customFormat="1" ht="52.5" customHeight="1">
      <c r="A152" s="12">
        <v>144</v>
      </c>
      <c r="B152" s="11" t="s">
        <v>356</v>
      </c>
      <c r="C152" s="52" t="s">
        <v>370</v>
      </c>
      <c r="D152" s="56">
        <v>1</v>
      </c>
      <c r="E152" s="33" t="s">
        <v>4</v>
      </c>
      <c r="F152" s="8">
        <v>5</v>
      </c>
      <c r="G152" s="66" t="s">
        <v>410</v>
      </c>
      <c r="H152" s="55"/>
      <c r="I152" s="50" t="s">
        <v>3</v>
      </c>
      <c r="J152" s="69">
        <f>'Dados Detalhados'!$L$1399</f>
        <v>3520.3</v>
      </c>
      <c r="K152" s="69">
        <f>'Dados Detalhados'!$L$1401</f>
        <v>0</v>
      </c>
      <c r="L152" s="69">
        <f>'Dados Detalhados'!$L$1401</f>
        <v>0</v>
      </c>
      <c r="M152" s="69">
        <f>'Dados Detalhados'!$L$1402</f>
        <v>0</v>
      </c>
      <c r="N152" s="69">
        <f>'Dados Detalhados'!$L$1403</f>
        <v>0</v>
      </c>
      <c r="O152" s="78">
        <f t="shared" si="4"/>
        <v>3520.3</v>
      </c>
      <c r="P152" s="78">
        <v>0</v>
      </c>
      <c r="Q152" s="78">
        <f t="shared" si="5"/>
        <v>0</v>
      </c>
      <c r="R152" s="54">
        <v>5</v>
      </c>
      <c r="S152" s="11" t="s">
        <v>356</v>
      </c>
      <c r="T152" s="25"/>
      <c r="U152" s="2"/>
    </row>
    <row r="153" spans="1:21" s="4" customFormat="1" ht="52.5" customHeight="1">
      <c r="A153" s="12">
        <v>145</v>
      </c>
      <c r="B153" s="11" t="s">
        <v>357</v>
      </c>
      <c r="C153" s="64" t="s">
        <v>394</v>
      </c>
      <c r="D153" s="56">
        <v>1</v>
      </c>
      <c r="E153" s="33" t="s">
        <v>4</v>
      </c>
      <c r="F153" s="8">
        <v>5</v>
      </c>
      <c r="G153" s="66" t="s">
        <v>410</v>
      </c>
      <c r="H153" s="55"/>
      <c r="I153" s="50" t="s">
        <v>368</v>
      </c>
      <c r="J153" s="69">
        <f>'Dados Detalhados'!$L$1405</f>
        <v>0</v>
      </c>
      <c r="K153" s="69">
        <f>'Dados Detalhados'!$L$1406</f>
        <v>0</v>
      </c>
      <c r="L153" s="69">
        <f>'Dados Detalhados'!$L$1407</f>
        <v>9538.8791176069535</v>
      </c>
      <c r="M153" s="69">
        <f>'Dados Detalhados'!$L$1408</f>
        <v>0</v>
      </c>
      <c r="N153" s="69">
        <f>'Dados Detalhados'!$L$1409</f>
        <v>0</v>
      </c>
      <c r="O153" s="78">
        <f t="shared" si="4"/>
        <v>9538.8791176069535</v>
      </c>
      <c r="P153" s="78">
        <v>0</v>
      </c>
      <c r="Q153" s="78">
        <f t="shared" si="5"/>
        <v>0</v>
      </c>
      <c r="R153" s="54">
        <v>5</v>
      </c>
      <c r="S153" s="11" t="s">
        <v>357</v>
      </c>
      <c r="T153" s="25"/>
      <c r="U153" s="2"/>
    </row>
    <row r="154" spans="1:21" s="4" customFormat="1" ht="52.5" hidden="1" customHeight="1">
      <c r="A154" s="12">
        <v>146</v>
      </c>
      <c r="B154" s="11" t="s">
        <v>358</v>
      </c>
      <c r="C154" s="1" t="s">
        <v>367</v>
      </c>
      <c r="D154" s="56">
        <v>1</v>
      </c>
      <c r="E154" s="33" t="s">
        <v>4</v>
      </c>
      <c r="F154" s="8">
        <v>5</v>
      </c>
      <c r="G154" s="66" t="s">
        <v>408</v>
      </c>
      <c r="H154" s="55"/>
      <c r="I154" s="50" t="s">
        <v>3</v>
      </c>
      <c r="J154" s="69">
        <f>'Dados Detalhados'!$L$1438</f>
        <v>10890</v>
      </c>
      <c r="K154" s="69">
        <f>'Dados Detalhados'!$L$1439</f>
        <v>19327.5</v>
      </c>
      <c r="L154" s="69">
        <f>'Dados Detalhados'!$L$1440</f>
        <v>24512.5</v>
      </c>
      <c r="M154" s="69">
        <f>'Dados Detalhados'!$L$1441</f>
        <v>24512.5</v>
      </c>
      <c r="N154" s="69">
        <f>'Dados Detalhados'!$L$1442</f>
        <v>24512.5</v>
      </c>
      <c r="O154" s="78">
        <f t="shared" si="4"/>
        <v>103755</v>
      </c>
      <c r="P154" s="78">
        <v>24500</v>
      </c>
      <c r="Q154" s="78">
        <f t="shared" si="5"/>
        <v>12.5</v>
      </c>
      <c r="R154" s="54">
        <v>3</v>
      </c>
      <c r="S154" s="11" t="s">
        <v>358</v>
      </c>
      <c r="T154" s="25"/>
      <c r="U154" s="2"/>
    </row>
    <row r="155" spans="1:21" s="4" customFormat="1" ht="52.5" hidden="1" customHeight="1">
      <c r="A155" s="12">
        <v>147</v>
      </c>
      <c r="B155" s="11" t="s">
        <v>359</v>
      </c>
      <c r="C155" s="1" t="s">
        <v>366</v>
      </c>
      <c r="D155" s="56">
        <v>1</v>
      </c>
      <c r="E155" s="33" t="s">
        <v>4</v>
      </c>
      <c r="F155" s="8">
        <v>5</v>
      </c>
      <c r="G155" s="66" t="s">
        <v>408</v>
      </c>
      <c r="H155" s="55"/>
      <c r="I155" s="50" t="s">
        <v>3</v>
      </c>
      <c r="J155" s="69">
        <f>'Dados Detalhados'!$L$1464</f>
        <v>0</v>
      </c>
      <c r="K155" s="69">
        <f>'Dados Detalhados'!$L$1465</f>
        <v>0</v>
      </c>
      <c r="L155" s="69">
        <f>'Dados Detalhados'!$L$1466</f>
        <v>33095.055555555555</v>
      </c>
      <c r="M155" s="69">
        <f>'Dados Detalhados'!$L$1467</f>
        <v>33095.055555555555</v>
      </c>
      <c r="N155" s="69">
        <f>'Dados Detalhados'!$L$1468</f>
        <v>0</v>
      </c>
      <c r="O155" s="78">
        <f t="shared" si="4"/>
        <v>66190.111111111109</v>
      </c>
      <c r="P155" s="78">
        <v>0</v>
      </c>
      <c r="Q155" s="78">
        <f t="shared" si="5"/>
        <v>0</v>
      </c>
      <c r="R155" s="54">
        <v>3</v>
      </c>
      <c r="S155" s="11" t="s">
        <v>359</v>
      </c>
      <c r="T155" s="25"/>
      <c r="U155" s="2"/>
    </row>
    <row r="156" spans="1:21" s="4" customFormat="1" ht="52.5" hidden="1" customHeight="1">
      <c r="A156" s="12">
        <v>148</v>
      </c>
      <c r="B156" s="11" t="s">
        <v>360</v>
      </c>
      <c r="C156" s="64" t="s">
        <v>395</v>
      </c>
      <c r="D156" s="56">
        <v>2</v>
      </c>
      <c r="E156" s="33" t="s">
        <v>4</v>
      </c>
      <c r="F156" s="8">
        <v>5</v>
      </c>
      <c r="G156" s="66" t="s">
        <v>408</v>
      </c>
      <c r="H156" s="55"/>
      <c r="I156" s="50" t="s">
        <v>3</v>
      </c>
      <c r="J156" s="69">
        <f>'Dados Detalhados'!$L$1485</f>
        <v>0</v>
      </c>
      <c r="K156" s="69">
        <f>'Dados Detalhados'!$L$1486</f>
        <v>0</v>
      </c>
      <c r="L156" s="69">
        <f>'Dados Detalhados'!$L$1487</f>
        <v>15000</v>
      </c>
      <c r="M156" s="69">
        <f>'Dados Detalhados'!$L$1488</f>
        <v>0</v>
      </c>
      <c r="N156" s="69">
        <f>'Dados Detalhados'!$L$1489</f>
        <v>0</v>
      </c>
      <c r="O156" s="78">
        <f t="shared" si="4"/>
        <v>15000</v>
      </c>
      <c r="P156" s="78">
        <v>0</v>
      </c>
      <c r="Q156" s="78">
        <f t="shared" si="5"/>
        <v>0</v>
      </c>
      <c r="R156" s="54">
        <v>3</v>
      </c>
      <c r="S156" s="11" t="s">
        <v>360</v>
      </c>
      <c r="T156" s="25"/>
      <c r="U156" s="2"/>
    </row>
    <row r="157" spans="1:21" s="4" customFormat="1" ht="52.5" hidden="1" customHeight="1">
      <c r="A157" s="12">
        <v>149</v>
      </c>
      <c r="B157" s="11" t="s">
        <v>361</v>
      </c>
      <c r="C157" s="64" t="s">
        <v>396</v>
      </c>
      <c r="D157" s="56">
        <v>1</v>
      </c>
      <c r="E157" s="33" t="s">
        <v>4</v>
      </c>
      <c r="F157" s="8">
        <v>5</v>
      </c>
      <c r="G157" s="66" t="s">
        <v>409</v>
      </c>
      <c r="H157" s="55"/>
      <c r="I157" s="50" t="s">
        <v>3</v>
      </c>
      <c r="J157" s="69">
        <f>'Dados Detalhados'!$L$1491</f>
        <v>0</v>
      </c>
      <c r="K157" s="69">
        <f>'Dados Detalhados'!$L$1492</f>
        <v>4390.6000000000004</v>
      </c>
      <c r="L157" s="69">
        <f>'Dados Detalhados'!$L$1493</f>
        <v>0</v>
      </c>
      <c r="M157" s="69">
        <f>'Dados Detalhados'!$L$1494</f>
        <v>0</v>
      </c>
      <c r="N157" s="69">
        <f>'Dados Detalhados'!$L$1495</f>
        <v>0</v>
      </c>
      <c r="O157" s="78">
        <f t="shared" si="4"/>
        <v>4390.6000000000004</v>
      </c>
      <c r="P157" s="78">
        <v>0</v>
      </c>
      <c r="Q157" s="78">
        <f t="shared" si="5"/>
        <v>0</v>
      </c>
      <c r="R157" s="54">
        <v>4</v>
      </c>
      <c r="S157" s="11" t="s">
        <v>361</v>
      </c>
      <c r="T157" s="25"/>
      <c r="U157" s="2"/>
    </row>
    <row r="158" spans="1:21" s="4" customFormat="1" ht="52.5" customHeight="1">
      <c r="A158" s="12">
        <v>150</v>
      </c>
      <c r="B158" s="11" t="s">
        <v>362</v>
      </c>
      <c r="C158" s="65" t="s">
        <v>391</v>
      </c>
      <c r="D158" s="56">
        <v>2</v>
      </c>
      <c r="E158" s="33" t="s">
        <v>4</v>
      </c>
      <c r="F158" s="8">
        <v>5</v>
      </c>
      <c r="G158" s="66" t="s">
        <v>410</v>
      </c>
      <c r="H158" s="55"/>
      <c r="I158" s="50" t="s">
        <v>3</v>
      </c>
      <c r="J158" s="69">
        <f>'Dados Detalhados'!$L$1497</f>
        <v>0</v>
      </c>
      <c r="K158" s="69">
        <f>'Dados Detalhados'!$L$1498</f>
        <v>0</v>
      </c>
      <c r="L158" s="69">
        <f>'Dados Detalhados'!$L$1499</f>
        <v>10583.9</v>
      </c>
      <c r="M158" s="69">
        <f>'Dados Detalhados'!$L$1500</f>
        <v>0</v>
      </c>
      <c r="N158" s="69">
        <f>'Dados Detalhados'!$L$1501</f>
        <v>0</v>
      </c>
      <c r="O158" s="78">
        <f t="shared" si="4"/>
        <v>10583.9</v>
      </c>
      <c r="P158" s="78">
        <v>0</v>
      </c>
      <c r="Q158" s="78">
        <f t="shared" si="5"/>
        <v>0</v>
      </c>
      <c r="R158" s="54">
        <v>5</v>
      </c>
      <c r="S158" s="11" t="s">
        <v>362</v>
      </c>
      <c r="T158" s="25"/>
      <c r="U158" s="2"/>
    </row>
    <row r="159" spans="1:21" s="4" customFormat="1" ht="52.5" customHeight="1">
      <c r="A159" s="12">
        <v>151</v>
      </c>
      <c r="B159" s="11" t="s">
        <v>363</v>
      </c>
      <c r="C159" s="1" t="s">
        <v>365</v>
      </c>
      <c r="D159" s="56">
        <v>1</v>
      </c>
      <c r="E159" s="33" t="s">
        <v>4</v>
      </c>
      <c r="F159" s="8">
        <v>5</v>
      </c>
      <c r="G159" s="66" t="s">
        <v>410</v>
      </c>
      <c r="H159" s="55"/>
      <c r="I159" s="50" t="s">
        <v>3</v>
      </c>
      <c r="J159" s="69">
        <f>'Dados Detalhados'!$L$1503</f>
        <v>0</v>
      </c>
      <c r="K159" s="69">
        <f>'Dados Detalhados'!$L$1504</f>
        <v>0</v>
      </c>
      <c r="L159" s="69">
        <f>'Dados Detalhados'!$L$1505</f>
        <v>0</v>
      </c>
      <c r="M159" s="69">
        <f>'Dados Detalhados'!$L$1506</f>
        <v>5857.4564645041792</v>
      </c>
      <c r="N159" s="69">
        <f>'Dados Detalhados'!$L$1507</f>
        <v>0</v>
      </c>
      <c r="O159" s="78">
        <f t="shared" si="4"/>
        <v>5857.4564645041792</v>
      </c>
      <c r="P159" s="78">
        <v>0</v>
      </c>
      <c r="Q159" s="78">
        <f t="shared" si="5"/>
        <v>0</v>
      </c>
      <c r="R159" s="54">
        <v>5</v>
      </c>
      <c r="S159" s="11" t="s">
        <v>363</v>
      </c>
      <c r="T159" s="25"/>
      <c r="U159" s="2"/>
    </row>
    <row r="160" spans="1:21" s="4" customFormat="1" hidden="1">
      <c r="A160" s="2"/>
      <c r="B160" s="2"/>
      <c r="D160" s="2"/>
      <c r="E160" s="2"/>
      <c r="F160" s="2"/>
      <c r="G160" s="2"/>
      <c r="H160" s="2"/>
      <c r="I160" s="2"/>
      <c r="J160" s="63">
        <f t="shared" ref="J160:O160" si="6">SUM(J5:J159)</f>
        <v>462140.92699999997</v>
      </c>
      <c r="K160" s="63">
        <f t="shared" si="6"/>
        <v>1116573.8788954862</v>
      </c>
      <c r="L160" s="63">
        <f t="shared" si="6"/>
        <v>1551677.4954232394</v>
      </c>
      <c r="M160" s="63">
        <f t="shared" si="6"/>
        <v>631433.3925087885</v>
      </c>
      <c r="N160" s="63">
        <f t="shared" si="6"/>
        <v>495582.34435871302</v>
      </c>
      <c r="O160" s="63">
        <f t="shared" si="6"/>
        <v>4257408.038186227</v>
      </c>
      <c r="P160" s="63">
        <f t="shared" ref="P160:Q160" si="7">SUM(P5:P159)</f>
        <v>511207.78880315745</v>
      </c>
      <c r="Q160" s="63">
        <f t="shared" si="7"/>
        <v>-15625.444444444445</v>
      </c>
      <c r="R160" s="2"/>
      <c r="S160" s="2"/>
      <c r="T160" s="2"/>
      <c r="U160" s="2"/>
    </row>
    <row r="161" spans="1:21" s="4" customFormat="1">
      <c r="A161" s="2"/>
      <c r="B161" s="2"/>
      <c r="D161" s="2"/>
      <c r="E161" s="2"/>
      <c r="F161" s="2"/>
      <c r="G161" s="2"/>
      <c r="H161" s="2"/>
      <c r="I161" s="2"/>
      <c r="J161" s="2"/>
      <c r="K161" s="2"/>
      <c r="L161" s="2"/>
      <c r="M161" s="2"/>
      <c r="N161" s="2"/>
      <c r="O161" s="239">
        <f>SUBTOTAL(9,N162)</f>
        <v>0</v>
      </c>
      <c r="P161" s="2"/>
      <c r="Q161" s="2"/>
      <c r="R161" s="2"/>
      <c r="S161" s="2"/>
      <c r="T161" s="2"/>
      <c r="U161" s="2"/>
    </row>
    <row r="162" spans="1:21" s="4" customFormat="1" ht="34.5" customHeight="1">
      <c r="A162" s="2"/>
      <c r="B162" s="2"/>
      <c r="D162" s="2"/>
      <c r="E162" s="2"/>
      <c r="F162" s="2"/>
      <c r="G162" s="2"/>
      <c r="H162" s="2"/>
      <c r="I162" s="2"/>
      <c r="K162" s="3"/>
      <c r="M162" s="2"/>
      <c r="O162" s="2"/>
      <c r="P162" s="2"/>
      <c r="Q162" s="2"/>
      <c r="R162" s="2"/>
      <c r="S162" s="2"/>
      <c r="T162" s="2"/>
      <c r="U162" s="2"/>
    </row>
    <row r="163" spans="1:21">
      <c r="L163" s="4"/>
    </row>
    <row r="164" spans="1:21" s="3" customFormat="1" ht="18.75" customHeight="1">
      <c r="J164" s="4"/>
      <c r="M164" s="2"/>
      <c r="N164" s="2"/>
      <c r="O164" s="2"/>
      <c r="P164" s="2"/>
      <c r="Q164" s="2"/>
    </row>
    <row r="166" spans="1:21" s="3" customFormat="1" ht="15" customHeight="1">
      <c r="J166" s="4"/>
      <c r="M166" s="2"/>
      <c r="N166" s="2"/>
      <c r="O166" s="2"/>
      <c r="P166" s="2"/>
      <c r="Q166" s="2"/>
    </row>
  </sheetData>
  <autoFilter ref="A4:Q160">
    <filterColumn colId="4">
      <filters>
        <filter val="TBMR e Controlo de infecção"/>
      </filters>
    </filterColumn>
    <filterColumn colId="6">
      <filters>
        <filter val="5: Outros (gestão TBMR)"/>
      </filters>
    </filterColumn>
  </autoFilter>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sheetPr>
    <tabColor theme="3" tint="-0.249977111117893"/>
  </sheetPr>
  <dimension ref="A4:F42"/>
  <sheetViews>
    <sheetView zoomScaleNormal="100" workbookViewId="0">
      <selection activeCell="E18" sqref="E18"/>
    </sheetView>
  </sheetViews>
  <sheetFormatPr defaultRowHeight="15"/>
  <cols>
    <col min="1" max="1" width="50" customWidth="1"/>
    <col min="2" max="4" width="23.7109375" style="240" customWidth="1"/>
    <col min="5" max="5" width="12.7109375" bestFit="1" customWidth="1"/>
  </cols>
  <sheetData>
    <row r="4" spans="1:6">
      <c r="B4" s="85" t="s">
        <v>905</v>
      </c>
      <c r="C4"/>
      <c r="D4"/>
    </row>
    <row r="5" spans="1:6">
      <c r="A5" s="85" t="s">
        <v>415</v>
      </c>
      <c r="B5" t="s">
        <v>417</v>
      </c>
      <c r="C5" t="s">
        <v>418</v>
      </c>
      <c r="D5" t="s">
        <v>419</v>
      </c>
    </row>
    <row r="6" spans="1:6">
      <c r="A6" s="86" t="s">
        <v>42</v>
      </c>
      <c r="B6" s="87">
        <v>7201.8428999999996</v>
      </c>
      <c r="C6" s="87">
        <v>17208.062899999997</v>
      </c>
      <c r="D6" s="87">
        <v>7225.8428999999996</v>
      </c>
      <c r="E6" s="348">
        <f>SUM(B6:D6)</f>
        <v>31635.748699999996</v>
      </c>
      <c r="F6" s="347">
        <f>E6/$E$36</f>
        <v>1.1810307322381886E-2</v>
      </c>
    </row>
    <row r="7" spans="1:6">
      <c r="A7" s="241" t="s">
        <v>405</v>
      </c>
      <c r="B7" s="87">
        <v>4835.1728999999996</v>
      </c>
      <c r="C7" s="87">
        <v>4847.1728999999996</v>
      </c>
      <c r="D7" s="87">
        <v>4859.1728999999996</v>
      </c>
      <c r="E7" s="348"/>
    </row>
    <row r="8" spans="1:6">
      <c r="A8" s="241" t="s">
        <v>406</v>
      </c>
      <c r="B8" s="87">
        <v>2366.67</v>
      </c>
      <c r="C8" s="87">
        <v>12360.89</v>
      </c>
      <c r="D8" s="87">
        <v>2366.67</v>
      </c>
      <c r="E8" s="348"/>
    </row>
    <row r="9" spans="1:6">
      <c r="A9" s="86" t="s">
        <v>144</v>
      </c>
      <c r="B9" s="87">
        <v>332926.40027446172</v>
      </c>
      <c r="C9" s="87">
        <v>175312.88536650676</v>
      </c>
      <c r="D9" s="87">
        <v>200266.40590315746</v>
      </c>
      <c r="E9" s="348">
        <f>SUM(B9:D9)</f>
        <v>708505.6915441259</v>
      </c>
      <c r="F9" s="347">
        <f>E9/$E$36</f>
        <v>0.26450045599182648</v>
      </c>
    </row>
    <row r="10" spans="1:6">
      <c r="A10" s="241" t="s">
        <v>397</v>
      </c>
      <c r="B10" s="87">
        <v>190019.88</v>
      </c>
      <c r="C10" s="87">
        <v>70322.25</v>
      </c>
      <c r="D10" s="87">
        <v>77614.080000000002</v>
      </c>
      <c r="E10" s="348"/>
    </row>
    <row r="11" spans="1:6">
      <c r="A11" s="241" t="s">
        <v>398</v>
      </c>
      <c r="B11" s="87">
        <v>142906.52027446168</v>
      </c>
      <c r="C11" s="87">
        <v>104990.63536650677</v>
      </c>
      <c r="D11" s="87">
        <v>118549.26590315746</v>
      </c>
      <c r="E11" s="348"/>
    </row>
    <row r="12" spans="1:6">
      <c r="A12" s="241" t="s">
        <v>399</v>
      </c>
      <c r="B12" s="87"/>
      <c r="C12" s="87"/>
      <c r="D12" s="87">
        <v>4103.0599999999995</v>
      </c>
      <c r="E12" s="348"/>
    </row>
    <row r="13" spans="1:6">
      <c r="A13" s="86" t="s">
        <v>390</v>
      </c>
      <c r="B13" s="87">
        <v>240574.04</v>
      </c>
      <c r="C13" s="87">
        <v>168735.98</v>
      </c>
      <c r="D13" s="87">
        <v>135013.37000000002</v>
      </c>
      <c r="E13" s="348">
        <f>SUM(B13:D13)</f>
        <v>544323.39</v>
      </c>
      <c r="F13" s="347">
        <f>E13/$E$36</f>
        <v>0.20320766167486756</v>
      </c>
    </row>
    <row r="14" spans="1:6">
      <c r="A14" s="241" t="s">
        <v>401</v>
      </c>
      <c r="B14" s="87">
        <v>111709.19</v>
      </c>
      <c r="C14" s="87">
        <v>80633.97</v>
      </c>
      <c r="D14" s="87">
        <v>66239.19</v>
      </c>
      <c r="E14" s="348"/>
    </row>
    <row r="15" spans="1:6">
      <c r="A15" s="241" t="s">
        <v>397</v>
      </c>
      <c r="B15" s="87">
        <v>582.78000000000009</v>
      </c>
      <c r="C15" s="87">
        <v>0</v>
      </c>
      <c r="D15" s="87">
        <v>0</v>
      </c>
      <c r="E15" s="348"/>
    </row>
    <row r="16" spans="1:6">
      <c r="A16" s="241" t="s">
        <v>398</v>
      </c>
      <c r="B16" s="87">
        <v>2113.6</v>
      </c>
      <c r="C16" s="87">
        <v>2113.6</v>
      </c>
      <c r="D16" s="87">
        <v>2113.6</v>
      </c>
      <c r="E16" s="348"/>
    </row>
    <row r="17" spans="1:6">
      <c r="A17" s="241" t="s">
        <v>402</v>
      </c>
      <c r="B17" s="87">
        <v>19816.060000000001</v>
      </c>
      <c r="C17" s="87">
        <v>30966.010000000002</v>
      </c>
      <c r="D17" s="87">
        <v>23582.82</v>
      </c>
      <c r="E17" s="348"/>
    </row>
    <row r="18" spans="1:6">
      <c r="A18" s="241" t="s">
        <v>399</v>
      </c>
      <c r="B18" s="87">
        <v>37655.06</v>
      </c>
      <c r="C18" s="87">
        <v>700</v>
      </c>
      <c r="D18" s="87">
        <v>5800</v>
      </c>
      <c r="E18" s="348"/>
    </row>
    <row r="19" spans="1:6">
      <c r="A19" s="241" t="s">
        <v>403</v>
      </c>
      <c r="B19" s="87">
        <v>37277.760000000002</v>
      </c>
      <c r="C19" s="87">
        <v>42465.68</v>
      </c>
      <c r="D19" s="87">
        <v>37277.760000000002</v>
      </c>
      <c r="E19" s="348"/>
    </row>
    <row r="20" spans="1:6">
      <c r="A20" s="241" t="s">
        <v>404</v>
      </c>
      <c r="B20" s="87">
        <v>31419.589999999997</v>
      </c>
      <c r="C20" s="87">
        <v>11856.72</v>
      </c>
      <c r="D20" s="87">
        <v>0</v>
      </c>
      <c r="E20" s="348"/>
    </row>
    <row r="21" spans="1:6">
      <c r="A21" s="86" t="s">
        <v>389</v>
      </c>
      <c r="B21" s="87">
        <v>121311.20000000001</v>
      </c>
      <c r="C21" s="87">
        <v>108921.77</v>
      </c>
      <c r="D21" s="87">
        <v>15141.19</v>
      </c>
      <c r="E21" s="348">
        <f>SUM(B21:D21)</f>
        <v>245374.16000000003</v>
      </c>
      <c r="F21" s="347">
        <f>E21/$E$36</f>
        <v>9.1603466257503333E-2</v>
      </c>
    </row>
    <row r="22" spans="1:6">
      <c r="A22" s="241" t="s">
        <v>400</v>
      </c>
      <c r="B22" s="87">
        <v>49625.930000000008</v>
      </c>
      <c r="C22" s="87">
        <v>66920.740000000005</v>
      </c>
      <c r="D22" s="87">
        <v>8291.52</v>
      </c>
      <c r="E22" s="348"/>
    </row>
    <row r="23" spans="1:6">
      <c r="A23" s="241" t="s">
        <v>401</v>
      </c>
      <c r="B23" s="87">
        <v>3788.65</v>
      </c>
      <c r="C23" s="87">
        <v>3788.65</v>
      </c>
      <c r="D23" s="87">
        <v>3788.65</v>
      </c>
      <c r="E23" s="348"/>
    </row>
    <row r="24" spans="1:6">
      <c r="A24" s="241" t="s">
        <v>397</v>
      </c>
      <c r="B24" s="87">
        <v>2313.6899999999996</v>
      </c>
      <c r="C24" s="87">
        <v>4372.25</v>
      </c>
      <c r="D24" s="87">
        <v>2313.6899999999996</v>
      </c>
      <c r="E24" s="348"/>
    </row>
    <row r="25" spans="1:6">
      <c r="A25" s="241" t="s">
        <v>398</v>
      </c>
      <c r="B25" s="348">
        <v>32240</v>
      </c>
      <c r="C25" s="87">
        <v>0</v>
      </c>
      <c r="D25" s="87">
        <v>0</v>
      </c>
      <c r="E25" s="348"/>
    </row>
    <row r="26" spans="1:6">
      <c r="A26" s="241" t="s">
        <v>866</v>
      </c>
      <c r="B26" s="87">
        <v>11000</v>
      </c>
      <c r="C26" s="87">
        <v>33000</v>
      </c>
      <c r="D26" s="87">
        <v>0</v>
      </c>
      <c r="E26" s="348"/>
    </row>
    <row r="27" spans="1:6">
      <c r="A27" s="241" t="s">
        <v>408</v>
      </c>
      <c r="B27" s="87">
        <v>15000</v>
      </c>
      <c r="C27" s="87">
        <v>0</v>
      </c>
      <c r="D27" s="87">
        <v>0</v>
      </c>
      <c r="E27" s="348"/>
    </row>
    <row r="28" spans="1:6">
      <c r="A28" s="241" t="s">
        <v>410</v>
      </c>
      <c r="B28" s="87">
        <v>7342.93</v>
      </c>
      <c r="C28" s="87">
        <v>840.13</v>
      </c>
      <c r="D28" s="87">
        <v>747.33</v>
      </c>
      <c r="E28" s="348"/>
    </row>
    <row r="29" spans="1:6">
      <c r="A29" s="86" t="s">
        <v>4</v>
      </c>
      <c r="B29" s="87">
        <v>849651.56689538457</v>
      </c>
      <c r="C29" s="87">
        <v>161242.24888888892</v>
      </c>
      <c r="D29" s="87">
        <v>137923.03555555554</v>
      </c>
      <c r="E29" s="348">
        <f>SUM(B29:D29)</f>
        <v>1148816.8513398289</v>
      </c>
      <c r="F29" s="347">
        <f>E29/$E$36</f>
        <v>0.42887810875342064</v>
      </c>
    </row>
    <row r="30" spans="1:6">
      <c r="A30" s="241" t="s">
        <v>407</v>
      </c>
      <c r="B30" s="87">
        <v>651439.62999999989</v>
      </c>
      <c r="C30" s="87">
        <v>38050.33</v>
      </c>
      <c r="D30" s="87">
        <v>44375.33</v>
      </c>
      <c r="E30" s="348"/>
    </row>
    <row r="31" spans="1:6">
      <c r="A31" s="241" t="s">
        <v>397</v>
      </c>
      <c r="B31" s="87">
        <v>2951.1100000000006</v>
      </c>
      <c r="C31" s="87">
        <v>2951.1100000000006</v>
      </c>
      <c r="D31" s="87">
        <v>2951.1100000000006</v>
      </c>
      <c r="E31" s="348"/>
    </row>
    <row r="32" spans="1:6">
      <c r="A32" s="241" t="s">
        <v>402</v>
      </c>
      <c r="B32" s="87">
        <v>86683.327777777769</v>
      </c>
      <c r="C32" s="87">
        <v>46009.998888888884</v>
      </c>
      <c r="D32" s="87">
        <v>61740.665555555548</v>
      </c>
      <c r="E32" s="348"/>
    </row>
    <row r="33" spans="1:6">
      <c r="A33" s="241" t="s">
        <v>408</v>
      </c>
      <c r="B33" s="87">
        <v>57595.1</v>
      </c>
      <c r="C33" s="87">
        <v>57595.1</v>
      </c>
      <c r="D33" s="87">
        <v>24500</v>
      </c>
      <c r="E33" s="348"/>
    </row>
    <row r="34" spans="1:6">
      <c r="A34" s="241" t="s">
        <v>409</v>
      </c>
      <c r="B34" s="87">
        <v>2720.6</v>
      </c>
      <c r="C34" s="87">
        <v>2720.6</v>
      </c>
      <c r="D34" s="87">
        <v>2780.3</v>
      </c>
      <c r="E34" s="348"/>
    </row>
    <row r="35" spans="1:6">
      <c r="A35" s="241" t="s">
        <v>410</v>
      </c>
      <c r="B35" s="87">
        <v>48261.799117606955</v>
      </c>
      <c r="C35" s="87">
        <v>13915.11</v>
      </c>
      <c r="D35" s="87">
        <v>1575.6299999999999</v>
      </c>
      <c r="E35" s="348"/>
    </row>
    <row r="36" spans="1:6">
      <c r="A36" s="86" t="s">
        <v>416</v>
      </c>
      <c r="B36" s="87">
        <v>1551665.0500698467</v>
      </c>
      <c r="C36" s="87">
        <v>631420.94715539552</v>
      </c>
      <c r="D36" s="87">
        <v>495569.84435871308</v>
      </c>
      <c r="E36" s="348">
        <f>SUM(B36:D36)</f>
        <v>2678655.8415839551</v>
      </c>
      <c r="F36" s="347">
        <f>E36/$E$36</f>
        <v>1</v>
      </c>
    </row>
    <row r="37" spans="1:6">
      <c r="E37" s="348"/>
    </row>
    <row r="38" spans="1:6">
      <c r="E38" s="348"/>
    </row>
    <row r="39" spans="1:6">
      <c r="E39" s="348"/>
    </row>
    <row r="40" spans="1:6">
      <c r="E40" s="348"/>
    </row>
    <row r="41" spans="1:6">
      <c r="E41" s="348"/>
    </row>
    <row r="42" spans="1:6">
      <c r="E42" s="348"/>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4:G11"/>
  <sheetViews>
    <sheetView workbookViewId="0">
      <selection activeCell="A4" sqref="A4"/>
    </sheetView>
  </sheetViews>
  <sheetFormatPr defaultRowHeight="15"/>
  <cols>
    <col min="1" max="1" width="42.85546875" customWidth="1"/>
    <col min="2" max="2" width="12" customWidth="1"/>
    <col min="3" max="3" width="14.42578125" customWidth="1"/>
    <col min="4" max="4" width="13.85546875" customWidth="1"/>
    <col min="5" max="5" width="34" customWidth="1"/>
    <col min="6" max="6" width="17.42578125" customWidth="1"/>
    <col min="7" max="7" width="22.85546875" customWidth="1"/>
  </cols>
  <sheetData>
    <row r="4" spans="1:7">
      <c r="B4" s="85" t="s">
        <v>905</v>
      </c>
    </row>
    <row r="5" spans="1:7">
      <c r="A5" s="85" t="s">
        <v>415</v>
      </c>
      <c r="B5" t="s">
        <v>908</v>
      </c>
      <c r="C5" t="s">
        <v>909</v>
      </c>
      <c r="D5" t="s">
        <v>910</v>
      </c>
      <c r="E5" t="s">
        <v>911</v>
      </c>
      <c r="F5" t="s">
        <v>912</v>
      </c>
      <c r="G5" t="s">
        <v>913</v>
      </c>
    </row>
    <row r="6" spans="1:7">
      <c r="A6" s="86" t="s">
        <v>42</v>
      </c>
      <c r="B6" s="87">
        <v>21821.79</v>
      </c>
      <c r="C6" s="87">
        <v>0</v>
      </c>
      <c r="D6" s="87">
        <v>0</v>
      </c>
      <c r="E6" s="87">
        <v>0</v>
      </c>
      <c r="F6" s="87">
        <v>26004.257799999999</v>
      </c>
      <c r="G6" s="87">
        <v>24971.577499999999</v>
      </c>
    </row>
    <row r="7" spans="1:7">
      <c r="A7" s="86" t="s">
        <v>144</v>
      </c>
      <c r="B7" s="87">
        <v>685821.11</v>
      </c>
      <c r="C7" s="87">
        <v>1804.6575</v>
      </c>
      <c r="D7" s="87">
        <v>4963.0599999999995</v>
      </c>
      <c r="E7" s="87">
        <v>0</v>
      </c>
      <c r="F7" s="87">
        <v>302624.40828405676</v>
      </c>
      <c r="G7" s="87">
        <v>149028.1875</v>
      </c>
    </row>
    <row r="8" spans="1:7">
      <c r="A8" s="86" t="s">
        <v>390</v>
      </c>
      <c r="B8" s="87">
        <v>619901.51199999999</v>
      </c>
      <c r="C8" s="87"/>
      <c r="D8" s="87"/>
      <c r="E8" s="87">
        <v>39169</v>
      </c>
      <c r="F8" s="87">
        <v>18124.989999999998</v>
      </c>
      <c r="G8" s="87">
        <v>143234.46000000002</v>
      </c>
    </row>
    <row r="9" spans="1:7">
      <c r="A9" s="86" t="s">
        <v>389</v>
      </c>
      <c r="B9" s="87">
        <v>145175.43</v>
      </c>
      <c r="C9" s="87">
        <v>0</v>
      </c>
      <c r="D9" s="87">
        <v>1100</v>
      </c>
      <c r="E9" s="87">
        <v>0</v>
      </c>
      <c r="F9" s="87">
        <v>0</v>
      </c>
      <c r="G9" s="87">
        <v>79486.41</v>
      </c>
    </row>
    <row r="10" spans="1:7">
      <c r="A10" s="86" t="s">
        <v>4</v>
      </c>
      <c r="B10" s="87">
        <v>706621.31313117081</v>
      </c>
      <c r="C10" s="87">
        <v>1173065.3999999999</v>
      </c>
      <c r="D10" s="87">
        <v>29424.73558211113</v>
      </c>
      <c r="E10" s="87">
        <v>0</v>
      </c>
      <c r="F10" s="87">
        <v>34188.87222222222</v>
      </c>
      <c r="G10" s="87">
        <v>50876.866666666661</v>
      </c>
    </row>
    <row r="11" spans="1:7">
      <c r="A11" s="86" t="s">
        <v>416</v>
      </c>
      <c r="B11" s="87">
        <v>2179341.1551311705</v>
      </c>
      <c r="C11" s="87">
        <v>1174870.0574999999</v>
      </c>
      <c r="D11" s="87">
        <v>35487.795582111132</v>
      </c>
      <c r="E11" s="87">
        <v>39169</v>
      </c>
      <c r="F11" s="87">
        <v>380942.52830627898</v>
      </c>
      <c r="G11" s="87">
        <v>447597.50166666665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2:F49"/>
  <sheetViews>
    <sheetView tabSelected="1" workbookViewId="0">
      <selection activeCell="B43" sqref="B43"/>
    </sheetView>
  </sheetViews>
  <sheetFormatPr defaultRowHeight="15"/>
  <cols>
    <col min="1" max="1" width="50" customWidth="1"/>
    <col min="2" max="2" width="12" style="240" customWidth="1"/>
    <col min="3" max="3" width="18.28515625" style="240" customWidth="1"/>
    <col min="4" max="4" width="50" customWidth="1"/>
    <col min="5" max="5" width="12" customWidth="1"/>
    <col min="6" max="8" width="23.7109375" customWidth="1"/>
  </cols>
  <sheetData>
    <row r="2" spans="1:6">
      <c r="A2" s="85" t="s">
        <v>415</v>
      </c>
      <c r="B2" t="s">
        <v>908</v>
      </c>
    </row>
    <row r="3" spans="1:6">
      <c r="A3" s="86">
        <v>1</v>
      </c>
      <c r="B3" s="87">
        <v>1212607.6233333331</v>
      </c>
    </row>
    <row r="4" spans="1:6">
      <c r="A4" s="86">
        <v>2</v>
      </c>
      <c r="B4" s="87">
        <v>134845.32</v>
      </c>
    </row>
    <row r="5" spans="1:6">
      <c r="A5" s="86">
        <v>3</v>
      </c>
      <c r="B5" s="87">
        <v>38496.28</v>
      </c>
    </row>
    <row r="6" spans="1:6">
      <c r="A6" s="86" t="s">
        <v>416</v>
      </c>
      <c r="B6" s="87">
        <v>1385949.2233333332</v>
      </c>
    </row>
    <row r="8" spans="1:6">
      <c r="D8" s="85" t="s">
        <v>412</v>
      </c>
      <c r="E8" s="86">
        <v>1</v>
      </c>
    </row>
    <row r="10" spans="1:6">
      <c r="A10" s="85" t="s">
        <v>415</v>
      </c>
      <c r="B10" t="s">
        <v>908</v>
      </c>
      <c r="C10"/>
      <c r="D10" s="85" t="s">
        <v>415</v>
      </c>
      <c r="E10" t="s">
        <v>908</v>
      </c>
      <c r="F10" s="350"/>
    </row>
    <row r="11" spans="1:6">
      <c r="A11" s="86" t="s">
        <v>42</v>
      </c>
      <c r="B11" s="87">
        <v>11094.23</v>
      </c>
      <c r="C11" s="350">
        <f>GETPIVOTDATA("FG",$A$10,"Domínio","Gestão das actividades de colaboração TB/HIV ")/GETPIVOTDATA("FG",$A$10)</f>
        <v>8.0047882081259597E-3</v>
      </c>
      <c r="D11" s="86" t="s">
        <v>42</v>
      </c>
      <c r="E11" s="87">
        <v>11094.23</v>
      </c>
      <c r="F11" s="350">
        <f>GETPIVOTDATA("FG",$D$10,"Domínio","Gestão das actividades de colaboração TB/HIV ")/GETPIVOTDATA("FG",$D$10)</f>
        <v>9.1490683272327667E-3</v>
      </c>
    </row>
    <row r="12" spans="1:6">
      <c r="A12" s="241" t="s">
        <v>405</v>
      </c>
      <c r="B12" s="87">
        <v>0</v>
      </c>
      <c r="C12" s="349"/>
      <c r="D12" s="241" t="s">
        <v>405</v>
      </c>
      <c r="E12" s="87">
        <v>0</v>
      </c>
      <c r="F12" s="350"/>
    </row>
    <row r="13" spans="1:6">
      <c r="A13" s="241" t="s">
        <v>406</v>
      </c>
      <c r="B13" s="87">
        <v>11094.23</v>
      </c>
      <c r="C13" s="349"/>
      <c r="D13" s="241" t="s">
        <v>406</v>
      </c>
      <c r="E13" s="87">
        <v>11094.23</v>
      </c>
      <c r="F13" s="350"/>
    </row>
    <row r="14" spans="1:6">
      <c r="A14" s="86" t="s">
        <v>144</v>
      </c>
      <c r="B14" s="87">
        <v>336834.05000000005</v>
      </c>
      <c r="C14" s="349">
        <f>GETPIVOTDATA("FG",$A$10,"Domínio","Gestão do Programa ")/GETPIVOTDATA("FG",$A$10)</f>
        <v>0.24303491378268799</v>
      </c>
      <c r="D14" s="86" t="s">
        <v>144</v>
      </c>
      <c r="E14" s="87">
        <v>335734.04000000004</v>
      </c>
      <c r="F14" s="350">
        <f>GETPIVOTDATA("FG",$D$10,"Domínio","Gestão do Programa ")/GETPIVOTDATA("FG",$D$10)</f>
        <v>0.2768694782547233</v>
      </c>
    </row>
    <row r="15" spans="1:6">
      <c r="A15" s="241" t="s">
        <v>397</v>
      </c>
      <c r="B15" s="87">
        <v>226540.26</v>
      </c>
      <c r="C15" s="349"/>
      <c r="D15" s="241" t="s">
        <v>397</v>
      </c>
      <c r="E15" s="87">
        <v>225440.25</v>
      </c>
      <c r="F15" s="350"/>
    </row>
    <row r="16" spans="1:6">
      <c r="A16" s="241" t="s">
        <v>398</v>
      </c>
      <c r="B16" s="87">
        <v>110293.79000000001</v>
      </c>
      <c r="C16" s="349"/>
      <c r="D16" s="241" t="s">
        <v>398</v>
      </c>
      <c r="E16" s="87">
        <v>110293.79000000001</v>
      </c>
      <c r="F16" s="350"/>
    </row>
    <row r="17" spans="1:6">
      <c r="A17" s="241" t="s">
        <v>399</v>
      </c>
      <c r="B17" s="87"/>
      <c r="C17" s="349"/>
      <c r="D17" s="86" t="s">
        <v>390</v>
      </c>
      <c r="E17" s="87">
        <v>302536.17000000004</v>
      </c>
      <c r="F17" s="350">
        <f>GETPIVOTDATA("FG",$D$10,"Domínio","Pacote DOT")/GETPIVOTDATA("FG",$D$10)</f>
        <v>0.24949222170347182</v>
      </c>
    </row>
    <row r="18" spans="1:6">
      <c r="A18" s="86" t="s">
        <v>390</v>
      </c>
      <c r="B18" s="87">
        <v>394344</v>
      </c>
      <c r="C18" s="349">
        <f>GETPIVOTDATA("FG",$A$10,"Domínio","Pacote DOT")/GETPIVOTDATA("FG",$A$10)</f>
        <v>0.28452990438680498</v>
      </c>
      <c r="D18" s="241" t="s">
        <v>401</v>
      </c>
      <c r="E18" s="87">
        <v>160219.58000000002</v>
      </c>
      <c r="F18" s="350"/>
    </row>
    <row r="19" spans="1:6">
      <c r="A19" s="241" t="s">
        <v>401</v>
      </c>
      <c r="B19" s="87">
        <v>206170.7</v>
      </c>
      <c r="C19" s="349"/>
      <c r="D19" s="241" t="s">
        <v>397</v>
      </c>
      <c r="E19" s="87"/>
      <c r="F19" s="350"/>
    </row>
    <row r="20" spans="1:6">
      <c r="A20" s="241" t="s">
        <v>397</v>
      </c>
      <c r="B20" s="87"/>
      <c r="C20" s="349"/>
      <c r="D20" s="241" t="s">
        <v>398</v>
      </c>
      <c r="E20" s="87">
        <v>5140.7999999999993</v>
      </c>
      <c r="F20" s="350"/>
    </row>
    <row r="21" spans="1:6">
      <c r="A21" s="241" t="s">
        <v>398</v>
      </c>
      <c r="B21" s="87">
        <v>5140.7999999999993</v>
      </c>
      <c r="C21" s="349"/>
      <c r="D21" s="241" t="s">
        <v>402</v>
      </c>
      <c r="E21" s="87">
        <v>15187.439999999999</v>
      </c>
      <c r="F21" s="350"/>
    </row>
    <row r="22" spans="1:6">
      <c r="A22" s="241" t="s">
        <v>402</v>
      </c>
      <c r="B22" s="87">
        <v>15187.439999999999</v>
      </c>
      <c r="C22" s="349"/>
      <c r="D22" s="241" t="s">
        <v>399</v>
      </c>
      <c r="E22" s="87">
        <v>44155.06</v>
      </c>
      <c r="F22" s="350"/>
    </row>
    <row r="23" spans="1:6">
      <c r="A23" s="241" t="s">
        <v>399</v>
      </c>
      <c r="B23" s="87">
        <v>44155.06</v>
      </c>
      <c r="C23" s="349"/>
      <c r="D23" s="241" t="s">
        <v>403</v>
      </c>
      <c r="E23" s="87">
        <v>77833.290000000008</v>
      </c>
      <c r="F23" s="350"/>
    </row>
    <row r="24" spans="1:6">
      <c r="A24" s="241" t="s">
        <v>403</v>
      </c>
      <c r="B24" s="87">
        <v>111833.28</v>
      </c>
      <c r="C24" s="349"/>
      <c r="D24" s="241" t="s">
        <v>404</v>
      </c>
      <c r="E24" s="87">
        <v>0</v>
      </c>
      <c r="F24" s="350"/>
    </row>
    <row r="25" spans="1:6">
      <c r="A25" s="241" t="s">
        <v>404</v>
      </c>
      <c r="B25" s="87">
        <v>11856.72</v>
      </c>
      <c r="C25" s="349"/>
      <c r="D25" s="86" t="s">
        <v>389</v>
      </c>
      <c r="E25" s="87">
        <v>114273.93999999999</v>
      </c>
      <c r="F25" s="350">
        <f>GETPIVOTDATA("FG",$D$10,"Domínio","Seguimento e Avaliação")/GETPIVOTDATA("FG",$D$10)</f>
        <v>9.4238183729929648E-2</v>
      </c>
    </row>
    <row r="26" spans="1:6">
      <c r="A26" s="86" t="s">
        <v>389</v>
      </c>
      <c r="B26" s="87">
        <v>148460.15999999997</v>
      </c>
      <c r="C26" s="349">
        <f>GETPIVOTDATA("FG",$A$10,"Domínio","Seguimento e Avaliação")/GETPIVOTDATA("FG",$A$10)</f>
        <v>0.10711803686641552</v>
      </c>
      <c r="D26" s="241" t="s">
        <v>400</v>
      </c>
      <c r="E26" s="87">
        <v>33165.56</v>
      </c>
      <c r="F26" s="350"/>
    </row>
    <row r="27" spans="1:6">
      <c r="A27" s="241" t="s">
        <v>400</v>
      </c>
      <c r="B27" s="87">
        <v>45351.78</v>
      </c>
      <c r="C27" s="349"/>
      <c r="D27" s="241" t="s">
        <v>401</v>
      </c>
      <c r="E27" s="87">
        <v>11365.95</v>
      </c>
      <c r="F27" s="350"/>
    </row>
    <row r="28" spans="1:6">
      <c r="A28" s="241" t="s">
        <v>401</v>
      </c>
      <c r="B28" s="87">
        <v>11365.95</v>
      </c>
      <c r="C28" s="349"/>
      <c r="D28" s="241" t="s">
        <v>397</v>
      </c>
      <c r="E28" s="87">
        <v>8999.6299999999992</v>
      </c>
      <c r="F28" s="350"/>
    </row>
    <row r="29" spans="1:6">
      <c r="A29" s="241" t="s">
        <v>397</v>
      </c>
      <c r="B29" s="87">
        <v>8999.6299999999992</v>
      </c>
      <c r="C29" s="349"/>
      <c r="D29" s="241" t="s">
        <v>398</v>
      </c>
      <c r="E29" s="87">
        <v>32240</v>
      </c>
      <c r="F29" s="350"/>
    </row>
    <row r="30" spans="1:6">
      <c r="A30" s="241" t="s">
        <v>398</v>
      </c>
      <c r="B30" s="87">
        <v>32240</v>
      </c>
      <c r="C30" s="349"/>
      <c r="D30" s="241" t="s">
        <v>866</v>
      </c>
      <c r="E30" s="87">
        <v>22000</v>
      </c>
      <c r="F30" s="350"/>
    </row>
    <row r="31" spans="1:6">
      <c r="A31" s="241" t="s">
        <v>866</v>
      </c>
      <c r="B31" s="87">
        <v>44000</v>
      </c>
      <c r="C31" s="349"/>
      <c r="D31" s="241" t="s">
        <v>410</v>
      </c>
      <c r="E31" s="87">
        <v>6502.8</v>
      </c>
      <c r="F31" s="350"/>
    </row>
    <row r="32" spans="1:6">
      <c r="A32" s="241" t="s">
        <v>408</v>
      </c>
      <c r="B32" s="87"/>
      <c r="C32" s="349"/>
      <c r="D32" s="86" t="s">
        <v>4</v>
      </c>
      <c r="E32" s="87">
        <v>448969.2433333334</v>
      </c>
      <c r="F32" s="350">
        <f>GETPIVOTDATA("FG",$D$10,"Domínio","TBMR e Controlo de infecção")/GETPIVOTDATA("FG",$D$10)</f>
        <v>0.37025104798464259</v>
      </c>
    </row>
    <row r="33" spans="1:6">
      <c r="A33" s="241" t="s">
        <v>410</v>
      </c>
      <c r="B33" s="87">
        <v>6502.8</v>
      </c>
      <c r="C33" s="349"/>
      <c r="D33" s="241" t="s">
        <v>407</v>
      </c>
      <c r="E33" s="87">
        <v>122104.59000000001</v>
      </c>
      <c r="F33" s="350"/>
    </row>
    <row r="34" spans="1:6">
      <c r="A34" s="86" t="s">
        <v>4</v>
      </c>
      <c r="B34" s="87">
        <v>495216.78333333338</v>
      </c>
      <c r="C34" s="349">
        <f>GETPIVOTDATA("FG",$A$10,"Domínio","TBMR e Controlo de infecção")/GETPIVOTDATA("FG",$A$10)</f>
        <v>0.35731235675596557</v>
      </c>
      <c r="D34" s="241" t="s">
        <v>402</v>
      </c>
      <c r="E34" s="87">
        <v>150460.37333333335</v>
      </c>
      <c r="F34" s="350"/>
    </row>
    <row r="35" spans="1:6">
      <c r="A35" s="241" t="s">
        <v>407</v>
      </c>
      <c r="B35" s="87">
        <v>122104.59000000001</v>
      </c>
      <c r="C35" s="349"/>
      <c r="D35" s="241" t="s">
        <v>408</v>
      </c>
      <c r="E35" s="87">
        <v>139690.20000000001</v>
      </c>
      <c r="F35" s="350"/>
    </row>
    <row r="36" spans="1:6">
      <c r="A36" s="241" t="s">
        <v>397</v>
      </c>
      <c r="B36" s="87">
        <v>8853.3300000000017</v>
      </c>
      <c r="C36" s="351"/>
      <c r="D36" s="241" t="s">
        <v>409</v>
      </c>
      <c r="E36" s="87">
        <v>8221.5</v>
      </c>
      <c r="F36" s="350"/>
    </row>
    <row r="37" spans="1:6">
      <c r="A37" s="241" t="s">
        <v>402</v>
      </c>
      <c r="B37" s="87">
        <v>179031.80333333334</v>
      </c>
      <c r="C37" s="351"/>
      <c r="D37" s="241" t="s">
        <v>410</v>
      </c>
      <c r="E37" s="87">
        <v>28492.579999999998</v>
      </c>
      <c r="F37" s="350"/>
    </row>
    <row r="38" spans="1:6">
      <c r="A38" s="241" t="s">
        <v>408</v>
      </c>
      <c r="B38" s="87">
        <v>139690.20000000001</v>
      </c>
      <c r="C38" s="351"/>
      <c r="D38" s="86" t="s">
        <v>416</v>
      </c>
      <c r="E38" s="87">
        <v>1212607.6233333333</v>
      </c>
      <c r="F38" s="350"/>
    </row>
    <row r="39" spans="1:6">
      <c r="A39" s="241" t="s">
        <v>409</v>
      </c>
      <c r="B39" s="87">
        <v>8221.5</v>
      </c>
      <c r="C39" s="351"/>
    </row>
    <row r="40" spans="1:6">
      <c r="A40" s="241" t="s">
        <v>410</v>
      </c>
      <c r="B40" s="87">
        <v>37315.360000000001</v>
      </c>
      <c r="C40" s="351"/>
    </row>
    <row r="41" spans="1:6">
      <c r="A41" s="86" t="s">
        <v>416</v>
      </c>
      <c r="B41" s="87">
        <v>1385949.2233333334</v>
      </c>
      <c r="C41" s="352">
        <f>SUM(C11:C40)</f>
        <v>1</v>
      </c>
    </row>
    <row r="42" spans="1:6">
      <c r="C42" s="351"/>
    </row>
    <row r="43" spans="1:6">
      <c r="C43" s="351"/>
    </row>
    <row r="44" spans="1:6">
      <c r="C44" s="351"/>
    </row>
    <row r="45" spans="1:6">
      <c r="C45" s="351"/>
    </row>
    <row r="46" spans="1:6">
      <c r="C46" s="351"/>
    </row>
    <row r="47" spans="1:6">
      <c r="C47" s="351"/>
    </row>
    <row r="48" spans="1:6">
      <c r="C48" s="351"/>
    </row>
    <row r="49" spans="3:3">
      <c r="C49" s="35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2:F49"/>
  <sheetViews>
    <sheetView topLeftCell="A3" workbookViewId="0">
      <selection activeCell="B18" sqref="B18"/>
    </sheetView>
  </sheetViews>
  <sheetFormatPr defaultRowHeight="15"/>
  <cols>
    <col min="1" max="1" width="43.140625" customWidth="1"/>
    <col min="2" max="2" width="34.5703125" style="240" customWidth="1"/>
    <col min="3" max="3" width="18.28515625" style="240" customWidth="1"/>
    <col min="4" max="4" width="43.140625" customWidth="1"/>
    <col min="5" max="5" width="19.140625" customWidth="1"/>
    <col min="6" max="8" width="23.7109375" customWidth="1"/>
  </cols>
  <sheetData>
    <row r="2" spans="1:6">
      <c r="A2" t="s">
        <v>415</v>
      </c>
      <c r="B2" t="s">
        <v>908</v>
      </c>
    </row>
    <row r="3" spans="1:6">
      <c r="A3" s="86">
        <v>1</v>
      </c>
      <c r="B3" s="87">
        <v>1212607.6233333331</v>
      </c>
    </row>
    <row r="4" spans="1:6">
      <c r="A4" s="86">
        <v>2</v>
      </c>
      <c r="B4" s="87">
        <v>134845.32</v>
      </c>
    </row>
    <row r="5" spans="1:6">
      <c r="A5" s="86">
        <v>3</v>
      </c>
      <c r="B5" s="87">
        <v>38496.28</v>
      </c>
    </row>
    <row r="6" spans="1:6">
      <c r="A6" s="86" t="s">
        <v>416</v>
      </c>
      <c r="B6" s="87">
        <v>1385949.2233333332</v>
      </c>
    </row>
    <row r="7" spans="1:6">
      <c r="D7" s="85" t="s">
        <v>412</v>
      </c>
      <c r="E7" s="86">
        <v>1</v>
      </c>
    </row>
    <row r="8" spans="1:6">
      <c r="A8" s="85" t="s">
        <v>1014</v>
      </c>
      <c r="B8" t="s">
        <v>1019</v>
      </c>
      <c r="D8" s="85" t="s">
        <v>1014</v>
      </c>
      <c r="E8" t="s">
        <v>1019</v>
      </c>
    </row>
    <row r="10" spans="1:6">
      <c r="A10" s="85" t="s">
        <v>415</v>
      </c>
      <c r="B10" t="s">
        <v>908</v>
      </c>
      <c r="C10"/>
      <c r="D10" s="85" t="s">
        <v>415</v>
      </c>
      <c r="E10" t="s">
        <v>908</v>
      </c>
      <c r="F10" s="350"/>
    </row>
    <row r="11" spans="1:6">
      <c r="A11" s="86" t="s">
        <v>144</v>
      </c>
      <c r="B11" s="87">
        <v>27581</v>
      </c>
      <c r="C11" s="350">
        <f>GETPIVOTDATA("FG",$A$10,"Domínio","Gestão do Programa ")/GETPIVOTDATA("FG",$A$10)</f>
        <v>0.23403071902440389</v>
      </c>
      <c r="D11" s="86" t="s">
        <v>144</v>
      </c>
      <c r="E11" s="87">
        <v>27581</v>
      </c>
      <c r="F11" s="350">
        <f>GETPIVOTDATA("FG",$D$10,"Domínio","Gestão do Programa ")/GETPIVOTDATA("FG",$D$10)</f>
        <v>0.24332158086245462</v>
      </c>
    </row>
    <row r="12" spans="1:6">
      <c r="A12" s="241" t="s">
        <v>397</v>
      </c>
      <c r="B12" s="87"/>
      <c r="C12" s="349"/>
      <c r="D12" s="241" t="s">
        <v>397</v>
      </c>
      <c r="E12" s="87"/>
      <c r="F12" s="350"/>
    </row>
    <row r="13" spans="1:6">
      <c r="A13" s="241" t="s">
        <v>398</v>
      </c>
      <c r="B13" s="87">
        <v>27581</v>
      </c>
      <c r="C13" s="349"/>
      <c r="D13" s="241" t="s">
        <v>398</v>
      </c>
      <c r="E13" s="87">
        <v>27581</v>
      </c>
      <c r="F13" s="350"/>
    </row>
    <row r="14" spans="1:6">
      <c r="A14" s="241" t="s">
        <v>399</v>
      </c>
      <c r="B14" s="87"/>
      <c r="C14" s="349"/>
      <c r="D14" s="86" t="s">
        <v>390</v>
      </c>
      <c r="E14" s="87">
        <v>52761.06</v>
      </c>
      <c r="F14" s="350">
        <f>GETPIVOTDATA("FG",$D$10,"Domínio","Pacote DOT")/GETPIVOTDATA("FG",$D$10)</f>
        <v>0.46546189504292157</v>
      </c>
    </row>
    <row r="15" spans="1:6">
      <c r="A15" s="86" t="s">
        <v>390</v>
      </c>
      <c r="B15" s="87">
        <v>57261.06</v>
      </c>
      <c r="C15" s="349">
        <f>GETPIVOTDATA("FG",$A$10,"Domínio","Pacote DOT")/GETPIVOTDATA("FG",$A$10)</f>
        <v>0.48587241375945517</v>
      </c>
      <c r="D15" s="241" t="s">
        <v>401</v>
      </c>
      <c r="E15" s="87">
        <v>27906</v>
      </c>
      <c r="F15" s="350"/>
    </row>
    <row r="16" spans="1:6">
      <c r="A16" s="241" t="s">
        <v>401</v>
      </c>
      <c r="B16" s="87">
        <v>32406</v>
      </c>
      <c r="C16" s="349"/>
      <c r="D16" s="241" t="s">
        <v>399</v>
      </c>
      <c r="E16" s="87">
        <v>24855.059999999998</v>
      </c>
      <c r="F16" s="350"/>
    </row>
    <row r="17" spans="1:6">
      <c r="A17" s="241" t="s">
        <v>399</v>
      </c>
      <c r="B17" s="87">
        <v>24855.059999999998</v>
      </c>
      <c r="C17" s="349"/>
      <c r="D17" s="86" t="s">
        <v>4</v>
      </c>
      <c r="E17" s="87">
        <v>33009.99</v>
      </c>
      <c r="F17" s="350">
        <f>GETPIVOTDATA("FG",$D$10,"Domínio","TBMR e Controlo de infecção")/GETPIVOTDATA("FG",$D$10)</f>
        <v>0.29121652409462379</v>
      </c>
    </row>
    <row r="18" spans="1:6">
      <c r="A18" s="86" t="s">
        <v>389</v>
      </c>
      <c r="B18" s="87"/>
      <c r="C18" s="349"/>
      <c r="D18" s="241" t="s">
        <v>407</v>
      </c>
      <c r="E18" s="87">
        <v>3009.9900000000002</v>
      </c>
      <c r="F18" s="350"/>
    </row>
    <row r="19" spans="1:6">
      <c r="A19" s="241" t="s">
        <v>410</v>
      </c>
      <c r="B19" s="87"/>
      <c r="C19" s="349"/>
      <c r="D19" s="241" t="s">
        <v>402</v>
      </c>
      <c r="E19" s="87">
        <v>30000</v>
      </c>
      <c r="F19" s="350"/>
    </row>
    <row r="20" spans="1:6">
      <c r="A20" s="86" t="s">
        <v>4</v>
      </c>
      <c r="B20" s="87">
        <v>33009.99</v>
      </c>
      <c r="C20" s="349">
        <f>GETPIVOTDATA("FG",$A$10,"Domínio","TBMR e Controlo de infecção")/GETPIVOTDATA("FG",$A$10)</f>
        <v>0.28009686721614091</v>
      </c>
      <c r="D20" s="241" t="s">
        <v>410</v>
      </c>
      <c r="E20" s="87"/>
      <c r="F20" s="350"/>
    </row>
    <row r="21" spans="1:6">
      <c r="A21" s="241" t="s">
        <v>407</v>
      </c>
      <c r="B21" s="87">
        <v>3009.9900000000002</v>
      </c>
      <c r="C21" s="349"/>
      <c r="D21" s="86" t="s">
        <v>416</v>
      </c>
      <c r="E21" s="87">
        <v>113352.05</v>
      </c>
      <c r="F21" s="350">
        <f>SUM(F11:F20)</f>
        <v>1</v>
      </c>
    </row>
    <row r="22" spans="1:6">
      <c r="A22" s="241" t="s">
        <v>402</v>
      </c>
      <c r="B22" s="87">
        <v>30000</v>
      </c>
      <c r="C22" s="349"/>
      <c r="F22" s="350"/>
    </row>
    <row r="23" spans="1:6">
      <c r="A23" s="241" t="s">
        <v>410</v>
      </c>
      <c r="B23" s="87"/>
      <c r="C23" s="349"/>
      <c r="F23" s="350"/>
    </row>
    <row r="24" spans="1:6">
      <c r="A24" s="86" t="s">
        <v>416</v>
      </c>
      <c r="B24" s="87">
        <v>117852.05</v>
      </c>
      <c r="C24" s="349">
        <f>SUM(C11:C23)</f>
        <v>1</v>
      </c>
      <c r="F24" s="350"/>
    </row>
    <row r="25" spans="1:6">
      <c r="B25"/>
      <c r="C25" s="349"/>
      <c r="F25" s="350"/>
    </row>
    <row r="26" spans="1:6">
      <c r="B26"/>
      <c r="C26" s="349"/>
      <c r="F26" s="350"/>
    </row>
    <row r="27" spans="1:6">
      <c r="B27"/>
      <c r="C27" s="349"/>
      <c r="F27" s="350"/>
    </row>
    <row r="28" spans="1:6">
      <c r="B28"/>
      <c r="C28" s="349"/>
      <c r="F28" s="350"/>
    </row>
    <row r="29" spans="1:6">
      <c r="B29"/>
      <c r="C29" s="349"/>
      <c r="F29" s="350"/>
    </row>
    <row r="30" spans="1:6">
      <c r="B30"/>
      <c r="C30" s="349"/>
      <c r="F30" s="350"/>
    </row>
    <row r="31" spans="1:6">
      <c r="B31"/>
      <c r="C31" s="349"/>
      <c r="F31" s="350"/>
    </row>
    <row r="32" spans="1:6">
      <c r="B32"/>
      <c r="C32" s="349"/>
      <c r="F32" s="350">
        <f>GETPIVOTDATA("FG",$D$10,"Domínio","TBMR e Controlo de infecção")/GETPIVOTDATA("FG",$D$10)</f>
        <v>0.29121652409462379</v>
      </c>
    </row>
    <row r="33" spans="2:6">
      <c r="B33"/>
      <c r="C33" s="349"/>
      <c r="F33" s="350"/>
    </row>
    <row r="34" spans="2:6">
      <c r="B34"/>
      <c r="C34" s="349">
        <f>GETPIVOTDATA("FG",$A$10,"Domínio","TBMR e Controlo de infecção")/GETPIVOTDATA("FG",$A$10)</f>
        <v>0.28009686721614091</v>
      </c>
      <c r="F34" s="350"/>
    </row>
    <row r="35" spans="2:6">
      <c r="B35"/>
      <c r="C35" s="349"/>
      <c r="F35" s="350"/>
    </row>
    <row r="36" spans="2:6">
      <c r="B36"/>
      <c r="C36" s="351"/>
      <c r="F36" s="350"/>
    </row>
    <row r="37" spans="2:6">
      <c r="B37"/>
      <c r="C37" s="351"/>
      <c r="F37" s="350"/>
    </row>
    <row r="38" spans="2:6">
      <c r="B38"/>
      <c r="C38" s="351"/>
      <c r="F38" s="350"/>
    </row>
    <row r="39" spans="2:6">
      <c r="B39"/>
      <c r="C39" s="351"/>
    </row>
    <row r="40" spans="2:6">
      <c r="B40"/>
      <c r="C40" s="351"/>
    </row>
    <row r="41" spans="2:6">
      <c r="B41"/>
      <c r="C41" s="352">
        <f>SUM(C11:C40)</f>
        <v>2.280096867216141</v>
      </c>
    </row>
    <row r="42" spans="2:6">
      <c r="C42" s="351"/>
    </row>
    <row r="43" spans="2:6">
      <c r="C43" s="351"/>
    </row>
    <row r="44" spans="2:6">
      <c r="C44" s="351"/>
    </row>
    <row r="45" spans="2:6">
      <c r="C45" s="351"/>
    </row>
    <row r="46" spans="2:6">
      <c r="C46" s="351"/>
    </row>
    <row r="47" spans="2:6">
      <c r="C47" s="351"/>
    </row>
    <row r="48" spans="2:6">
      <c r="C48" s="351"/>
    </row>
    <row r="49" spans="3:3">
      <c r="C49" s="35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sheetPr filterMode="1">
    <tabColor theme="3" tint="-0.249977111117893"/>
  </sheetPr>
  <dimension ref="A1:T166"/>
  <sheetViews>
    <sheetView zoomScaleNormal="100" workbookViewId="0">
      <pane ySplit="5" topLeftCell="A155" activePane="bottomLeft" state="frozenSplit"/>
      <selection pane="bottomLeft" activeCell="N6" sqref="N6:N159"/>
    </sheetView>
  </sheetViews>
  <sheetFormatPr defaultRowHeight="15"/>
  <cols>
    <col min="1" max="1" width="4.5703125" style="2" customWidth="1"/>
    <col min="2" max="2" width="6.5703125" style="2" customWidth="1"/>
    <col min="3" max="3" width="30.28515625" style="2" customWidth="1"/>
    <col min="4" max="4" width="3" style="2" customWidth="1"/>
    <col min="5" max="5" width="12.140625" style="2" customWidth="1"/>
    <col min="6" max="6" width="3" style="2" customWidth="1"/>
    <col min="7" max="9" width="12.85546875" style="2" customWidth="1"/>
    <col min="10" max="10" width="10.28515625" style="3" customWidth="1"/>
    <col min="11" max="12" width="11" style="2" hidden="1" customWidth="1"/>
    <col min="13" max="13" width="11.5703125" style="2" bestFit="1" customWidth="1"/>
    <col min="14" max="20" width="11.28515625" style="2" customWidth="1"/>
    <col min="21" max="16384" width="9.140625" style="2"/>
  </cols>
  <sheetData>
    <row r="1" spans="1:20" ht="19.5" customHeight="1">
      <c r="C1" s="84" t="s">
        <v>902</v>
      </c>
    </row>
    <row r="2" spans="1:20" ht="6.75" customHeight="1">
      <c r="B2" s="24"/>
    </row>
    <row r="3" spans="1:20" ht="17.25" customHeight="1">
      <c r="J3" s="2"/>
      <c r="N3" s="381" t="s">
        <v>894</v>
      </c>
      <c r="O3" s="381"/>
      <c r="P3" s="381"/>
      <c r="Q3" s="381"/>
      <c r="R3" s="381"/>
      <c r="S3" s="381"/>
    </row>
    <row r="4" spans="1:20" ht="44.25" customHeight="1">
      <c r="A4" s="82" t="s">
        <v>278</v>
      </c>
      <c r="B4" s="74" t="s">
        <v>276</v>
      </c>
      <c r="C4" s="81" t="s">
        <v>275</v>
      </c>
      <c r="D4" s="75" t="s">
        <v>412</v>
      </c>
      <c r="E4" s="39" t="s">
        <v>274</v>
      </c>
      <c r="F4" s="76" t="s">
        <v>413</v>
      </c>
      <c r="G4" s="53" t="s">
        <v>411</v>
      </c>
      <c r="H4" s="61" t="s">
        <v>267</v>
      </c>
      <c r="I4" s="34" t="s">
        <v>273</v>
      </c>
      <c r="J4" s="77" t="s">
        <v>270</v>
      </c>
      <c r="K4" s="77" t="s">
        <v>269</v>
      </c>
      <c r="L4" s="73" t="s">
        <v>268</v>
      </c>
      <c r="M4" s="72" t="s">
        <v>904</v>
      </c>
      <c r="N4" s="219" t="s">
        <v>895</v>
      </c>
      <c r="O4" s="221" t="s">
        <v>896</v>
      </c>
      <c r="P4" s="222" t="s">
        <v>897</v>
      </c>
      <c r="Q4" s="220" t="s">
        <v>898</v>
      </c>
      <c r="R4" s="223" t="s">
        <v>899</v>
      </c>
      <c r="S4" s="218" t="s">
        <v>900</v>
      </c>
      <c r="T4" s="243" t="s">
        <v>918</v>
      </c>
    </row>
    <row r="5" spans="1:20" ht="52.5" hidden="1" customHeight="1">
      <c r="A5" s="12">
        <v>1</v>
      </c>
      <c r="B5" s="10" t="s">
        <v>266</v>
      </c>
      <c r="C5" s="14" t="s">
        <v>865</v>
      </c>
      <c r="D5" s="6">
        <v>2</v>
      </c>
      <c r="E5" s="8" t="s">
        <v>144</v>
      </c>
      <c r="F5" s="8">
        <v>1</v>
      </c>
      <c r="G5" s="66" t="s">
        <v>397</v>
      </c>
      <c r="H5" s="5" t="s">
        <v>334</v>
      </c>
      <c r="I5" s="28" t="s">
        <v>184</v>
      </c>
      <c r="J5" s="43">
        <f>'Dados Detalhados'!$L$3</f>
        <v>7778.35</v>
      </c>
      <c r="K5" s="43"/>
      <c r="L5" s="43"/>
      <c r="M5" s="78">
        <f>+J5+K5+L5</f>
        <v>7778.35</v>
      </c>
      <c r="N5" s="78"/>
      <c r="O5" s="78"/>
      <c r="P5" s="78"/>
      <c r="Q5" s="78"/>
      <c r="R5" s="78"/>
      <c r="S5" s="78"/>
      <c r="T5" s="78">
        <f>+M5</f>
        <v>7778.35</v>
      </c>
    </row>
    <row r="6" spans="1:20" ht="52.5" customHeight="1">
      <c r="A6" s="12">
        <v>2</v>
      </c>
      <c r="B6" s="10" t="s">
        <v>264</v>
      </c>
      <c r="C6" s="14" t="s">
        <v>263</v>
      </c>
      <c r="D6" s="6">
        <v>1</v>
      </c>
      <c r="E6" s="8" t="s">
        <v>144</v>
      </c>
      <c r="F6" s="8">
        <v>1</v>
      </c>
      <c r="G6" s="66" t="s">
        <v>397</v>
      </c>
      <c r="H6" s="5" t="s">
        <v>334</v>
      </c>
      <c r="I6" s="28" t="s">
        <v>184</v>
      </c>
      <c r="J6" s="224">
        <f>'Dados Detalhados'!$L$37</f>
        <v>6177.64</v>
      </c>
      <c r="K6" s="224"/>
      <c r="L6" s="224"/>
      <c r="M6" s="78">
        <f t="shared" ref="M6:M69" si="0">+J6+K6+L6</f>
        <v>6177.64</v>
      </c>
      <c r="N6" s="78">
        <f>+M6</f>
        <v>6177.64</v>
      </c>
      <c r="O6" s="78"/>
      <c r="P6" s="78"/>
      <c r="Q6" s="78"/>
      <c r="R6" s="78"/>
      <c r="S6" s="78"/>
      <c r="T6" s="78"/>
    </row>
    <row r="7" spans="1:20" ht="52.5" hidden="1" customHeight="1">
      <c r="A7" s="12">
        <v>3</v>
      </c>
      <c r="B7" s="10" t="s">
        <v>262</v>
      </c>
      <c r="C7" s="14" t="s">
        <v>261</v>
      </c>
      <c r="D7" s="6">
        <v>3</v>
      </c>
      <c r="E7" s="8" t="s">
        <v>144</v>
      </c>
      <c r="F7" s="8">
        <v>1</v>
      </c>
      <c r="G7" s="66" t="s">
        <v>397</v>
      </c>
      <c r="H7" s="5" t="s">
        <v>334</v>
      </c>
      <c r="I7" s="28" t="s">
        <v>184</v>
      </c>
      <c r="J7" s="43">
        <f>'Dados Detalhados'!$L$66</f>
        <v>3315.83</v>
      </c>
      <c r="K7" s="43"/>
      <c r="L7" s="43"/>
      <c r="M7" s="78">
        <f t="shared" si="0"/>
        <v>3315.83</v>
      </c>
      <c r="N7" s="78"/>
      <c r="O7" s="78"/>
      <c r="P7" s="78"/>
      <c r="Q7" s="78"/>
      <c r="R7" s="78"/>
      <c r="S7" s="78"/>
      <c r="T7" s="78">
        <f>+M7</f>
        <v>3315.83</v>
      </c>
    </row>
    <row r="8" spans="1:20" ht="52.5" customHeight="1">
      <c r="A8" s="12">
        <v>4</v>
      </c>
      <c r="B8" s="10" t="s">
        <v>260</v>
      </c>
      <c r="C8" s="14" t="s">
        <v>259</v>
      </c>
      <c r="D8" s="6">
        <v>1</v>
      </c>
      <c r="E8" s="8" t="s">
        <v>144</v>
      </c>
      <c r="F8" s="8">
        <v>1</v>
      </c>
      <c r="G8" s="66" t="s">
        <v>397</v>
      </c>
      <c r="H8" s="5" t="s">
        <v>334</v>
      </c>
      <c r="I8" s="28" t="s">
        <v>184</v>
      </c>
      <c r="J8" s="224">
        <f>'Dados Detalhados'!$L$95</f>
        <v>1905.11</v>
      </c>
      <c r="K8" s="224"/>
      <c r="L8" s="224"/>
      <c r="M8" s="78">
        <f t="shared" si="0"/>
        <v>1905.11</v>
      </c>
      <c r="N8" s="78">
        <f t="shared" ref="N8:N71" si="1">+M8</f>
        <v>1905.11</v>
      </c>
      <c r="O8" s="78"/>
      <c r="P8" s="78"/>
      <c r="Q8" s="78"/>
      <c r="R8" s="78"/>
      <c r="S8" s="78"/>
      <c r="T8" s="78"/>
    </row>
    <row r="9" spans="1:20" ht="52.5" hidden="1" customHeight="1">
      <c r="A9" s="12">
        <v>5</v>
      </c>
      <c r="B9" s="10" t="s">
        <v>258</v>
      </c>
      <c r="C9" s="14" t="s">
        <v>257</v>
      </c>
      <c r="D9" s="6">
        <v>3</v>
      </c>
      <c r="E9" s="8" t="s">
        <v>144</v>
      </c>
      <c r="F9" s="8">
        <v>1</v>
      </c>
      <c r="G9" s="66" t="s">
        <v>397</v>
      </c>
      <c r="H9" s="5" t="s">
        <v>334</v>
      </c>
      <c r="I9" s="28" t="s">
        <v>184</v>
      </c>
      <c r="J9" s="224">
        <f>'Dados Detalhados'!$L$124</f>
        <v>2951.1100000000006</v>
      </c>
      <c r="K9" s="224"/>
      <c r="L9" s="224"/>
      <c r="M9" s="78">
        <f t="shared" si="0"/>
        <v>2951.1100000000006</v>
      </c>
      <c r="N9" s="78">
        <f t="shared" si="1"/>
        <v>2951.1100000000006</v>
      </c>
      <c r="O9" s="78"/>
      <c r="P9" s="78"/>
      <c r="Q9" s="78"/>
      <c r="R9" s="78"/>
      <c r="S9" s="78"/>
      <c r="T9" s="78"/>
    </row>
    <row r="10" spans="1:20" ht="52.5" hidden="1" customHeight="1">
      <c r="A10" s="12">
        <v>6</v>
      </c>
      <c r="B10" s="10" t="s">
        <v>256</v>
      </c>
      <c r="C10" s="14" t="s">
        <v>255</v>
      </c>
      <c r="D10" s="6">
        <v>3</v>
      </c>
      <c r="E10" s="8" t="s">
        <v>144</v>
      </c>
      <c r="F10" s="8">
        <v>1</v>
      </c>
      <c r="G10" s="66" t="s">
        <v>397</v>
      </c>
      <c r="H10" s="5" t="s">
        <v>334</v>
      </c>
      <c r="I10" s="28" t="s">
        <v>184</v>
      </c>
      <c r="J10" s="43">
        <v>0</v>
      </c>
      <c r="K10" s="43"/>
      <c r="L10" s="43"/>
      <c r="M10" s="78">
        <f t="shared" si="0"/>
        <v>0</v>
      </c>
      <c r="N10" s="78"/>
      <c r="O10" s="78"/>
      <c r="P10" s="78"/>
      <c r="Q10" s="78"/>
      <c r="R10" s="78"/>
      <c r="S10" s="78"/>
      <c r="T10" s="78">
        <f>+M10</f>
        <v>0</v>
      </c>
    </row>
    <row r="11" spans="1:20" ht="52.5" hidden="1" customHeight="1">
      <c r="A11" s="12">
        <v>7</v>
      </c>
      <c r="B11" s="14" t="s">
        <v>254</v>
      </c>
      <c r="C11" s="14" t="s">
        <v>253</v>
      </c>
      <c r="D11" s="6">
        <v>2</v>
      </c>
      <c r="E11" s="8" t="s">
        <v>144</v>
      </c>
      <c r="F11" s="8">
        <v>1</v>
      </c>
      <c r="G11" s="66" t="s">
        <v>397</v>
      </c>
      <c r="H11" s="5" t="s">
        <v>334</v>
      </c>
      <c r="I11" s="28" t="s">
        <v>184</v>
      </c>
      <c r="J11" s="225">
        <f>'Dados Detalhados'!$L$180</f>
        <v>4963.0599999999995</v>
      </c>
      <c r="K11" s="43"/>
      <c r="L11" s="43"/>
      <c r="M11" s="78">
        <f t="shared" si="0"/>
        <v>4963.0599999999995</v>
      </c>
      <c r="N11" s="78"/>
      <c r="O11" s="78"/>
      <c r="P11" s="78">
        <f t="shared" ref="P11:P52" si="2">+M11</f>
        <v>4963.0599999999995</v>
      </c>
      <c r="Q11" s="78"/>
      <c r="R11" s="78"/>
      <c r="S11" s="78"/>
      <c r="T11" s="78"/>
    </row>
    <row r="12" spans="1:20" ht="52.5" customHeight="1">
      <c r="A12" s="12">
        <v>8</v>
      </c>
      <c r="B12" s="14" t="s">
        <v>252</v>
      </c>
      <c r="C12" s="14" t="s">
        <v>251</v>
      </c>
      <c r="D12" s="6">
        <v>1</v>
      </c>
      <c r="E12" s="8" t="s">
        <v>144</v>
      </c>
      <c r="F12" s="8">
        <v>1</v>
      </c>
      <c r="G12" s="66" t="s">
        <v>397</v>
      </c>
      <c r="H12" s="5"/>
      <c r="I12" s="28" t="s">
        <v>184</v>
      </c>
      <c r="J12" s="43">
        <f>'Dados Detalhados'!$L$209</f>
        <v>582.78000000000009</v>
      </c>
      <c r="K12" s="43"/>
      <c r="L12" s="43"/>
      <c r="M12" s="78">
        <f t="shared" si="0"/>
        <v>582.78000000000009</v>
      </c>
      <c r="N12" s="78"/>
      <c r="O12" s="78"/>
      <c r="P12" s="78"/>
      <c r="Q12" s="78"/>
      <c r="R12" s="78"/>
      <c r="S12" s="78"/>
      <c r="T12" s="78">
        <f t="shared" ref="T12:T75" si="3">+M12</f>
        <v>582.78000000000009</v>
      </c>
    </row>
    <row r="13" spans="1:20" ht="52.5" customHeight="1">
      <c r="A13" s="12">
        <v>9</v>
      </c>
      <c r="B13" s="10" t="s">
        <v>250</v>
      </c>
      <c r="C13" s="14" t="s">
        <v>249</v>
      </c>
      <c r="D13" s="6">
        <v>1</v>
      </c>
      <c r="E13" s="8" t="s">
        <v>144</v>
      </c>
      <c r="F13" s="8">
        <v>1</v>
      </c>
      <c r="G13" s="66" t="s">
        <v>397</v>
      </c>
      <c r="H13" s="5" t="s">
        <v>334</v>
      </c>
      <c r="I13" s="28" t="s">
        <v>184</v>
      </c>
      <c r="J13" s="43">
        <v>0</v>
      </c>
      <c r="K13" s="224"/>
      <c r="L13" s="43"/>
      <c r="M13" s="78">
        <f t="shared" si="0"/>
        <v>0</v>
      </c>
      <c r="N13" s="78">
        <f t="shared" si="1"/>
        <v>0</v>
      </c>
      <c r="O13" s="78"/>
      <c r="P13" s="78"/>
      <c r="Q13" s="78"/>
      <c r="R13" s="78"/>
      <c r="S13" s="78"/>
      <c r="T13" s="78"/>
    </row>
    <row r="14" spans="1:20" ht="52.5" hidden="1" customHeight="1">
      <c r="A14" s="12">
        <v>10</v>
      </c>
      <c r="B14" s="10" t="s">
        <v>248</v>
      </c>
      <c r="C14" s="10" t="s">
        <v>247</v>
      </c>
      <c r="D14" s="6">
        <v>3</v>
      </c>
      <c r="E14" s="8" t="s">
        <v>144</v>
      </c>
      <c r="F14" s="8">
        <v>1</v>
      </c>
      <c r="G14" s="66" t="s">
        <v>397</v>
      </c>
      <c r="H14" s="9" t="s">
        <v>334</v>
      </c>
      <c r="I14" s="28" t="s">
        <v>184</v>
      </c>
      <c r="J14" s="43">
        <v>0</v>
      </c>
      <c r="K14" s="43"/>
      <c r="L14" s="43"/>
      <c r="M14" s="78">
        <f t="shared" si="0"/>
        <v>0</v>
      </c>
      <c r="N14" s="78"/>
      <c r="O14" s="78"/>
      <c r="P14" s="78"/>
      <c r="Q14" s="78"/>
      <c r="R14" s="78">
        <f t="shared" ref="R14:R62" si="4">+M14</f>
        <v>0</v>
      </c>
      <c r="S14" s="78"/>
      <c r="T14" s="78"/>
    </row>
    <row r="15" spans="1:20" ht="52.5" customHeight="1">
      <c r="A15" s="12">
        <v>11</v>
      </c>
      <c r="B15" s="10" t="s">
        <v>246</v>
      </c>
      <c r="C15" s="51" t="s">
        <v>333</v>
      </c>
      <c r="D15" s="6">
        <v>1</v>
      </c>
      <c r="E15" s="8" t="s">
        <v>144</v>
      </c>
      <c r="F15" s="8">
        <v>1</v>
      </c>
      <c r="G15" s="66" t="s">
        <v>397</v>
      </c>
      <c r="H15" s="5"/>
      <c r="I15" s="28" t="s">
        <v>184</v>
      </c>
      <c r="J15" s="43"/>
      <c r="K15" s="43"/>
      <c r="L15" s="43"/>
      <c r="M15" s="78">
        <f t="shared" si="0"/>
        <v>0</v>
      </c>
      <c r="N15" s="78">
        <f t="shared" si="1"/>
        <v>0</v>
      </c>
      <c r="O15" s="78">
        <f t="shared" ref="O15:O51" si="5">+M15</f>
        <v>0</v>
      </c>
      <c r="P15" s="78">
        <f t="shared" si="2"/>
        <v>0</v>
      </c>
      <c r="Q15" s="78">
        <f t="shared" ref="Q15:Q51" si="6">+M15</f>
        <v>0</v>
      </c>
      <c r="R15" s="78">
        <f t="shared" si="4"/>
        <v>0</v>
      </c>
      <c r="S15" s="78"/>
      <c r="T15" s="78">
        <f t="shared" si="3"/>
        <v>0</v>
      </c>
    </row>
    <row r="16" spans="1:20" ht="52.5" customHeight="1">
      <c r="A16" s="12">
        <v>12</v>
      </c>
      <c r="B16" s="10" t="s">
        <v>245</v>
      </c>
      <c r="C16" s="51" t="s">
        <v>393</v>
      </c>
      <c r="D16" s="6">
        <v>1</v>
      </c>
      <c r="E16" s="8" t="s">
        <v>144</v>
      </c>
      <c r="F16" s="8">
        <v>1</v>
      </c>
      <c r="G16" s="66" t="s">
        <v>397</v>
      </c>
      <c r="H16" s="9"/>
      <c r="I16" s="28" t="s">
        <v>184</v>
      </c>
      <c r="J16" s="224">
        <f>'Dados Detalhados'!$L$247</f>
        <v>60330</v>
      </c>
      <c r="K16" s="224"/>
      <c r="L16" s="224"/>
      <c r="M16" s="78">
        <f t="shared" si="0"/>
        <v>60330</v>
      </c>
      <c r="N16" s="78">
        <f t="shared" si="1"/>
        <v>60330</v>
      </c>
      <c r="O16" s="78"/>
      <c r="P16" s="78"/>
      <c r="Q16" s="78"/>
      <c r="R16" s="78"/>
      <c r="S16" s="78"/>
      <c r="T16" s="78"/>
    </row>
    <row r="17" spans="1:20" ht="52.5" customHeight="1">
      <c r="A17" s="12">
        <v>13</v>
      </c>
      <c r="B17" s="10" t="s">
        <v>244</v>
      </c>
      <c r="C17" s="14" t="s">
        <v>243</v>
      </c>
      <c r="D17" s="6">
        <v>1</v>
      </c>
      <c r="E17" s="8" t="s">
        <v>144</v>
      </c>
      <c r="F17" s="8">
        <v>1</v>
      </c>
      <c r="G17" s="66" t="s">
        <v>397</v>
      </c>
      <c r="H17" s="5"/>
      <c r="I17" s="28" t="s">
        <v>184</v>
      </c>
      <c r="J17" s="43">
        <v>0</v>
      </c>
      <c r="K17" s="43"/>
      <c r="L17" s="43"/>
      <c r="M17" s="78">
        <f t="shared" si="0"/>
        <v>0</v>
      </c>
      <c r="N17" s="78"/>
      <c r="O17" s="78">
        <f t="shared" si="5"/>
        <v>0</v>
      </c>
      <c r="P17" s="78"/>
      <c r="Q17" s="78"/>
      <c r="R17" s="78"/>
      <c r="S17" s="78"/>
      <c r="T17" s="78"/>
    </row>
    <row r="18" spans="1:20" ht="52.5" customHeight="1">
      <c r="A18" s="12">
        <v>14</v>
      </c>
      <c r="B18" s="10" t="s">
        <v>242</v>
      </c>
      <c r="C18" s="14" t="s">
        <v>241</v>
      </c>
      <c r="D18" s="6">
        <v>1</v>
      </c>
      <c r="E18" s="8" t="s">
        <v>144</v>
      </c>
      <c r="F18" s="8">
        <v>1</v>
      </c>
      <c r="G18" s="66" t="s">
        <v>397</v>
      </c>
      <c r="H18" s="5" t="s">
        <v>332</v>
      </c>
      <c r="I18" s="28" t="s">
        <v>184</v>
      </c>
      <c r="J18" s="224">
        <f>'Dados Detalhados'!$L$280</f>
        <v>11876</v>
      </c>
      <c r="K18" s="43"/>
      <c r="L18" s="43"/>
      <c r="M18" s="78">
        <f t="shared" si="0"/>
        <v>11876</v>
      </c>
      <c r="N18" s="78">
        <f t="shared" si="1"/>
        <v>11876</v>
      </c>
      <c r="O18" s="78"/>
      <c r="P18" s="78"/>
      <c r="Q18" s="78"/>
      <c r="R18" s="78"/>
      <c r="S18" s="78"/>
      <c r="T18" s="78"/>
    </row>
    <row r="19" spans="1:20" ht="52.5" customHeight="1">
      <c r="A19" s="12">
        <v>15</v>
      </c>
      <c r="B19" s="10" t="s">
        <v>240</v>
      </c>
      <c r="C19" s="14" t="s">
        <v>239</v>
      </c>
      <c r="D19" s="6">
        <v>1</v>
      </c>
      <c r="E19" s="8" t="s">
        <v>144</v>
      </c>
      <c r="F19" s="8">
        <v>1</v>
      </c>
      <c r="G19" s="66" t="s">
        <v>397</v>
      </c>
      <c r="H19" s="5" t="s">
        <v>332</v>
      </c>
      <c r="I19" s="28" t="s">
        <v>184</v>
      </c>
      <c r="J19" s="43">
        <v>0</v>
      </c>
      <c r="K19" s="43"/>
      <c r="L19" s="43"/>
      <c r="M19" s="78">
        <f t="shared" si="0"/>
        <v>0</v>
      </c>
      <c r="N19" s="78">
        <f t="shared" si="1"/>
        <v>0</v>
      </c>
      <c r="O19" s="78"/>
      <c r="P19" s="78"/>
      <c r="Q19" s="78"/>
      <c r="R19" s="78"/>
      <c r="S19" s="78"/>
      <c r="T19" s="78"/>
    </row>
    <row r="20" spans="1:20" ht="52.5" hidden="1" customHeight="1">
      <c r="A20" s="12">
        <v>16</v>
      </c>
      <c r="B20" s="10" t="s">
        <v>238</v>
      </c>
      <c r="C20" s="14" t="s">
        <v>237</v>
      </c>
      <c r="D20" s="6">
        <v>2</v>
      </c>
      <c r="E20" s="8" t="s">
        <v>144</v>
      </c>
      <c r="F20" s="8">
        <v>1</v>
      </c>
      <c r="G20" s="66" t="s">
        <v>397</v>
      </c>
      <c r="H20" s="5" t="s">
        <v>332</v>
      </c>
      <c r="I20" s="28" t="s">
        <v>184</v>
      </c>
      <c r="J20" s="43">
        <f>'Dados Detalhados'!$L$300</f>
        <v>60152</v>
      </c>
      <c r="K20" s="43"/>
      <c r="L20" s="43"/>
      <c r="M20" s="78">
        <f t="shared" si="0"/>
        <v>60152</v>
      </c>
      <c r="N20" s="78"/>
      <c r="O20" s="78"/>
      <c r="P20" s="78"/>
      <c r="Q20" s="78"/>
      <c r="R20" s="78"/>
      <c r="S20" s="78"/>
      <c r="T20" s="78">
        <f t="shared" si="3"/>
        <v>60152</v>
      </c>
    </row>
    <row r="21" spans="1:20" ht="52.5" customHeight="1">
      <c r="A21" s="12">
        <v>17</v>
      </c>
      <c r="B21" s="10" t="s">
        <v>236</v>
      </c>
      <c r="C21" s="14" t="s">
        <v>235</v>
      </c>
      <c r="D21" s="6">
        <v>1</v>
      </c>
      <c r="E21" s="8" t="s">
        <v>144</v>
      </c>
      <c r="F21" s="8">
        <v>1</v>
      </c>
      <c r="G21" s="66" t="s">
        <v>397</v>
      </c>
      <c r="H21" s="5" t="s">
        <v>332</v>
      </c>
      <c r="I21" s="28" t="s">
        <v>184</v>
      </c>
      <c r="J21" s="43">
        <f>'Dados Detalhados'!$L$305</f>
        <v>10376</v>
      </c>
      <c r="K21" s="43"/>
      <c r="L21" s="43"/>
      <c r="M21" s="78">
        <f t="shared" si="0"/>
        <v>10376</v>
      </c>
      <c r="N21" s="78"/>
      <c r="O21" s="78"/>
      <c r="P21" s="78"/>
      <c r="Q21" s="78"/>
      <c r="R21" s="78"/>
      <c r="S21" s="78"/>
      <c r="T21" s="78">
        <f t="shared" si="3"/>
        <v>10376</v>
      </c>
    </row>
    <row r="22" spans="1:20" ht="52.5" customHeight="1">
      <c r="A22" s="12">
        <v>18</v>
      </c>
      <c r="B22" s="10" t="s">
        <v>234</v>
      </c>
      <c r="C22" s="14" t="s">
        <v>233</v>
      </c>
      <c r="D22" s="6">
        <v>1</v>
      </c>
      <c r="E22" s="8" t="s">
        <v>389</v>
      </c>
      <c r="F22" s="8">
        <v>2</v>
      </c>
      <c r="G22" s="66" t="s">
        <v>400</v>
      </c>
      <c r="H22" s="5" t="s">
        <v>332</v>
      </c>
      <c r="I22" s="28" t="s">
        <v>184</v>
      </c>
      <c r="J22" s="43">
        <f>'Dados Detalhados'!$L$310</f>
        <v>38152</v>
      </c>
      <c r="K22" s="43"/>
      <c r="L22" s="43"/>
      <c r="M22" s="78">
        <f t="shared" si="0"/>
        <v>38152</v>
      </c>
      <c r="N22" s="78"/>
      <c r="O22" s="78"/>
      <c r="P22" s="78"/>
      <c r="Q22" s="78"/>
      <c r="R22" s="78"/>
      <c r="S22" s="78"/>
      <c r="T22" s="78">
        <f t="shared" si="3"/>
        <v>38152</v>
      </c>
    </row>
    <row r="23" spans="1:20" ht="52.5" customHeight="1">
      <c r="A23" s="12">
        <v>19</v>
      </c>
      <c r="B23" s="10" t="s">
        <v>232</v>
      </c>
      <c r="C23" s="14" t="s">
        <v>231</v>
      </c>
      <c r="D23" s="6">
        <v>1</v>
      </c>
      <c r="E23" s="8" t="s">
        <v>144</v>
      </c>
      <c r="F23" s="8">
        <v>1</v>
      </c>
      <c r="G23" s="66" t="s">
        <v>399</v>
      </c>
      <c r="H23" s="5" t="s">
        <v>332</v>
      </c>
      <c r="I23" s="28" t="s">
        <v>184</v>
      </c>
      <c r="J23" s="224">
        <f>'Dados Detalhados'!$L$315</f>
        <v>20752</v>
      </c>
      <c r="K23" s="43"/>
      <c r="L23" s="43"/>
      <c r="M23" s="78">
        <f t="shared" si="0"/>
        <v>20752</v>
      </c>
      <c r="N23" s="78">
        <f t="shared" si="1"/>
        <v>20752</v>
      </c>
      <c r="O23" s="78"/>
      <c r="P23" s="78"/>
      <c r="Q23" s="78"/>
      <c r="R23" s="78"/>
      <c r="S23" s="78"/>
      <c r="T23" s="78"/>
    </row>
    <row r="24" spans="1:20" ht="52.5" customHeight="1">
      <c r="A24" s="12">
        <v>20</v>
      </c>
      <c r="B24" s="10" t="s">
        <v>230</v>
      </c>
      <c r="C24" s="14" t="s">
        <v>229</v>
      </c>
      <c r="D24" s="6">
        <v>1</v>
      </c>
      <c r="E24" s="8" t="s">
        <v>144</v>
      </c>
      <c r="F24" s="8">
        <v>1</v>
      </c>
      <c r="G24" s="66" t="s">
        <v>399</v>
      </c>
      <c r="H24" s="5" t="s">
        <v>332</v>
      </c>
      <c r="I24" s="28" t="s">
        <v>184</v>
      </c>
      <c r="J24" s="224">
        <f>'Dados Detalhados'!$L$320</f>
        <v>4103.0599999999995</v>
      </c>
      <c r="K24" s="43"/>
      <c r="L24" s="43"/>
      <c r="M24" s="78">
        <f t="shared" si="0"/>
        <v>4103.0599999999995</v>
      </c>
      <c r="N24" s="78">
        <f t="shared" si="1"/>
        <v>4103.0599999999995</v>
      </c>
      <c r="O24" s="78"/>
      <c r="P24" s="78"/>
      <c r="Q24" s="78"/>
      <c r="R24" s="78"/>
      <c r="S24" s="78"/>
      <c r="T24" s="78"/>
    </row>
    <row r="25" spans="1:20" ht="58.5" hidden="1" customHeight="1">
      <c r="A25" s="12">
        <v>21</v>
      </c>
      <c r="B25" s="10" t="s">
        <v>228</v>
      </c>
      <c r="C25" s="14" t="s">
        <v>227</v>
      </c>
      <c r="D25" s="6">
        <v>2</v>
      </c>
      <c r="E25" s="8" t="s">
        <v>144</v>
      </c>
      <c r="F25" s="8">
        <v>1</v>
      </c>
      <c r="G25" s="66" t="s">
        <v>399</v>
      </c>
      <c r="H25" s="5" t="s">
        <v>332</v>
      </c>
      <c r="I25" s="28" t="s">
        <v>184</v>
      </c>
      <c r="J25" s="43"/>
      <c r="K25" s="43"/>
      <c r="L25" s="43"/>
      <c r="M25" s="78">
        <f t="shared" si="0"/>
        <v>0</v>
      </c>
      <c r="N25" s="78"/>
      <c r="O25" s="78"/>
      <c r="P25" s="78"/>
      <c r="Q25" s="78"/>
      <c r="R25" s="78"/>
      <c r="S25" s="78"/>
      <c r="T25" s="78">
        <f t="shared" si="3"/>
        <v>0</v>
      </c>
    </row>
    <row r="26" spans="1:20" ht="52.5" customHeight="1">
      <c r="A26" s="12">
        <v>22</v>
      </c>
      <c r="B26" s="10" t="s">
        <v>226</v>
      </c>
      <c r="C26" s="14" t="s">
        <v>225</v>
      </c>
      <c r="D26" s="6">
        <v>1</v>
      </c>
      <c r="E26" s="8" t="s">
        <v>144</v>
      </c>
      <c r="F26" s="8">
        <v>1</v>
      </c>
      <c r="G26" s="66" t="s">
        <v>397</v>
      </c>
      <c r="H26" s="5" t="s">
        <v>331</v>
      </c>
      <c r="I26" s="28" t="s">
        <v>184</v>
      </c>
      <c r="J26" s="43">
        <v>0</v>
      </c>
      <c r="K26" s="43"/>
      <c r="L26" s="43"/>
      <c r="M26" s="78">
        <f t="shared" si="0"/>
        <v>0</v>
      </c>
      <c r="N26" s="78"/>
      <c r="O26" s="78"/>
      <c r="P26" s="78"/>
      <c r="Q26" s="78"/>
      <c r="R26" s="78">
        <f t="shared" si="4"/>
        <v>0</v>
      </c>
      <c r="S26" s="78"/>
      <c r="T26" s="78"/>
    </row>
    <row r="27" spans="1:20" ht="52.5" hidden="1" customHeight="1">
      <c r="A27" s="12">
        <v>23</v>
      </c>
      <c r="B27" s="10" t="s">
        <v>2</v>
      </c>
      <c r="C27" s="10" t="s">
        <v>224</v>
      </c>
      <c r="D27" s="6">
        <v>3</v>
      </c>
      <c r="E27" s="8" t="s">
        <v>144</v>
      </c>
      <c r="F27" s="8">
        <v>1</v>
      </c>
      <c r="G27" s="66" t="s">
        <v>397</v>
      </c>
      <c r="H27" s="5" t="s">
        <v>330</v>
      </c>
      <c r="I27" s="28" t="s">
        <v>184</v>
      </c>
      <c r="J27" s="224">
        <f>'Dados Detalhados'!$L$355</f>
        <v>366.67</v>
      </c>
      <c r="K27" s="224"/>
      <c r="L27" s="224"/>
      <c r="M27" s="78">
        <f t="shared" si="0"/>
        <v>366.67</v>
      </c>
      <c r="N27" s="78">
        <f t="shared" si="1"/>
        <v>366.67</v>
      </c>
      <c r="O27" s="78"/>
      <c r="P27" s="78"/>
      <c r="Q27" s="78"/>
      <c r="R27" s="78"/>
      <c r="S27" s="78"/>
      <c r="T27" s="78"/>
    </row>
    <row r="28" spans="1:20" ht="52.5" customHeight="1">
      <c r="A28" s="12">
        <v>24</v>
      </c>
      <c r="B28" s="10" t="s">
        <v>223</v>
      </c>
      <c r="C28" s="10" t="s">
        <v>222</v>
      </c>
      <c r="D28" s="6">
        <v>1</v>
      </c>
      <c r="E28" s="8" t="s">
        <v>144</v>
      </c>
      <c r="F28" s="8">
        <v>1</v>
      </c>
      <c r="G28" s="66" t="s">
        <v>397</v>
      </c>
      <c r="H28" s="5"/>
      <c r="I28" s="28" t="s">
        <v>184</v>
      </c>
      <c r="J28" s="224">
        <f>'Dados Detalhados'!$L$360</f>
        <v>1450</v>
      </c>
      <c r="K28" s="224"/>
      <c r="L28" s="224"/>
      <c r="M28" s="78">
        <f t="shared" si="0"/>
        <v>1450</v>
      </c>
      <c r="N28" s="78">
        <f t="shared" si="1"/>
        <v>1450</v>
      </c>
      <c r="O28" s="78"/>
      <c r="P28" s="78"/>
      <c r="Q28" s="78"/>
      <c r="R28" s="78"/>
      <c r="S28" s="78"/>
      <c r="T28" s="78"/>
    </row>
    <row r="29" spans="1:20" ht="52.5" customHeight="1">
      <c r="A29" s="12">
        <v>25</v>
      </c>
      <c r="B29" s="10" t="s">
        <v>221</v>
      </c>
      <c r="C29" s="18" t="s">
        <v>220</v>
      </c>
      <c r="D29" s="6">
        <v>1</v>
      </c>
      <c r="E29" s="8" t="s">
        <v>144</v>
      </c>
      <c r="F29" s="8">
        <v>1</v>
      </c>
      <c r="G29" s="66" t="s">
        <v>398</v>
      </c>
      <c r="H29" s="5" t="s">
        <v>329</v>
      </c>
      <c r="I29" s="28" t="s">
        <v>184</v>
      </c>
      <c r="J29" s="42">
        <f>'Dados Detalhados'!$L$368</f>
        <v>5904.7700000000013</v>
      </c>
      <c r="K29" s="42"/>
      <c r="L29" s="42"/>
      <c r="M29" s="78">
        <f t="shared" si="0"/>
        <v>5904.7700000000013</v>
      </c>
      <c r="N29" s="78"/>
      <c r="O29" s="78"/>
      <c r="P29" s="78"/>
      <c r="Q29" s="78"/>
      <c r="R29" s="78"/>
      <c r="S29" s="78"/>
      <c r="T29" s="78">
        <f t="shared" si="3"/>
        <v>5904.7700000000013</v>
      </c>
    </row>
    <row r="30" spans="1:20" ht="52.5" customHeight="1">
      <c r="A30" s="12">
        <v>26</v>
      </c>
      <c r="B30" s="11" t="s">
        <v>219</v>
      </c>
      <c r="C30" s="1" t="s">
        <v>889</v>
      </c>
      <c r="D30" s="151">
        <v>1</v>
      </c>
      <c r="E30" s="33" t="s">
        <v>144</v>
      </c>
      <c r="F30" s="8">
        <v>1</v>
      </c>
      <c r="G30" s="66" t="s">
        <v>398</v>
      </c>
      <c r="H30" s="5"/>
      <c r="I30" s="28" t="s">
        <v>184</v>
      </c>
      <c r="J30" s="224">
        <f>'Dados Detalhados'!$L$395</f>
        <v>5074.08</v>
      </c>
      <c r="K30" s="224"/>
      <c r="L30" s="224"/>
      <c r="M30" s="78">
        <f t="shared" si="0"/>
        <v>5074.08</v>
      </c>
      <c r="N30" s="78">
        <f t="shared" si="1"/>
        <v>5074.08</v>
      </c>
      <c r="O30" s="78"/>
      <c r="P30" s="78"/>
      <c r="Q30" s="78"/>
      <c r="R30" s="78"/>
      <c r="S30" s="78"/>
      <c r="T30" s="78"/>
    </row>
    <row r="31" spans="1:20" ht="52.5" customHeight="1">
      <c r="A31" s="217" t="s">
        <v>890</v>
      </c>
      <c r="B31" s="51" t="s">
        <v>891</v>
      </c>
      <c r="C31" s="20" t="s">
        <v>892</v>
      </c>
      <c r="D31" s="212">
        <v>1</v>
      </c>
      <c r="E31" s="19" t="s">
        <v>144</v>
      </c>
      <c r="F31" s="19">
        <v>1</v>
      </c>
      <c r="G31" s="213" t="s">
        <v>398</v>
      </c>
      <c r="H31" s="216"/>
      <c r="I31" s="31"/>
      <c r="J31" s="48">
        <f>'Dados Detalhados'!L400</f>
        <v>70573.580274461681</v>
      </c>
      <c r="K31" s="48"/>
      <c r="L31" s="48"/>
      <c r="M31" s="78">
        <f t="shared" si="0"/>
        <v>70573.580274461681</v>
      </c>
      <c r="N31" s="78"/>
      <c r="O31" s="78"/>
      <c r="P31" s="78"/>
      <c r="Q31" s="78"/>
      <c r="R31" s="78">
        <f t="shared" si="4"/>
        <v>70573.580274461681</v>
      </c>
      <c r="S31" s="215"/>
      <c r="T31" s="78"/>
    </row>
    <row r="32" spans="1:20" ht="52.5" customHeight="1">
      <c r="A32" s="12">
        <v>27</v>
      </c>
      <c r="B32" s="10" t="s">
        <v>218</v>
      </c>
      <c r="C32" s="18" t="s">
        <v>217</v>
      </c>
      <c r="D32" s="6">
        <v>1</v>
      </c>
      <c r="E32" s="8" t="s">
        <v>144</v>
      </c>
      <c r="F32" s="8">
        <v>1</v>
      </c>
      <c r="G32" s="66" t="s">
        <v>398</v>
      </c>
      <c r="H32" s="5"/>
      <c r="I32" s="28" t="s">
        <v>184</v>
      </c>
      <c r="J32" s="224">
        <f>'Dados Detalhados'!$L$403</f>
        <v>6306.48</v>
      </c>
      <c r="K32" s="224"/>
      <c r="L32" s="224"/>
      <c r="M32" s="78">
        <f t="shared" si="0"/>
        <v>6306.48</v>
      </c>
      <c r="N32" s="78">
        <f t="shared" si="1"/>
        <v>6306.48</v>
      </c>
      <c r="O32" s="78"/>
      <c r="P32" s="78"/>
      <c r="Q32" s="78"/>
      <c r="R32" s="78"/>
      <c r="S32" s="78"/>
      <c r="T32" s="78"/>
    </row>
    <row r="33" spans="1:20" ht="52.5" customHeight="1">
      <c r="A33" s="12">
        <v>28</v>
      </c>
      <c r="B33" s="10" t="s">
        <v>215</v>
      </c>
      <c r="C33" s="18" t="s">
        <v>214</v>
      </c>
      <c r="D33" s="6">
        <v>1</v>
      </c>
      <c r="E33" s="8" t="s">
        <v>144</v>
      </c>
      <c r="F33" s="8">
        <v>1</v>
      </c>
      <c r="G33" s="66" t="s">
        <v>398</v>
      </c>
      <c r="H33" s="5"/>
      <c r="I33" s="28" t="s">
        <v>184</v>
      </c>
      <c r="J33" s="224">
        <f>'Dados Detalhados'!$L$406</f>
        <v>8320</v>
      </c>
      <c r="K33" s="224"/>
      <c r="L33" s="224"/>
      <c r="M33" s="78">
        <f t="shared" si="0"/>
        <v>8320</v>
      </c>
      <c r="N33" s="78">
        <f t="shared" si="1"/>
        <v>8320</v>
      </c>
      <c r="O33" s="78"/>
      <c r="P33" s="78"/>
      <c r="Q33" s="78"/>
      <c r="R33" s="78"/>
      <c r="S33" s="78"/>
      <c r="T33" s="78"/>
    </row>
    <row r="34" spans="1:20" ht="52.5" customHeight="1">
      <c r="A34" s="12">
        <v>29</v>
      </c>
      <c r="B34" s="10" t="s">
        <v>213</v>
      </c>
      <c r="C34" s="14" t="s">
        <v>212</v>
      </c>
      <c r="D34" s="6">
        <v>1</v>
      </c>
      <c r="E34" s="8" t="s">
        <v>144</v>
      </c>
      <c r="F34" s="8">
        <v>1</v>
      </c>
      <c r="G34" s="66" t="s">
        <v>398</v>
      </c>
      <c r="H34" s="5"/>
      <c r="I34" s="28" t="s">
        <v>184</v>
      </c>
      <c r="J34" s="224">
        <f>'Dados Detalhados'!$L$409</f>
        <v>32240</v>
      </c>
      <c r="K34" s="43"/>
      <c r="L34" s="43"/>
      <c r="M34" s="78">
        <f t="shared" si="0"/>
        <v>32240</v>
      </c>
      <c r="N34" s="78">
        <f t="shared" si="1"/>
        <v>32240</v>
      </c>
      <c r="O34" s="78"/>
      <c r="P34" s="78"/>
      <c r="Q34" s="78"/>
      <c r="R34" s="78"/>
      <c r="S34" s="78"/>
      <c r="T34" s="78"/>
    </row>
    <row r="35" spans="1:20" ht="58.5" customHeight="1">
      <c r="A35" s="12">
        <v>30</v>
      </c>
      <c r="B35" s="10" t="s">
        <v>211</v>
      </c>
      <c r="C35" s="14" t="s">
        <v>210</v>
      </c>
      <c r="D35" s="6">
        <v>1</v>
      </c>
      <c r="E35" s="8" t="s">
        <v>144</v>
      </c>
      <c r="F35" s="8">
        <v>1</v>
      </c>
      <c r="G35" s="66" t="s">
        <v>398</v>
      </c>
      <c r="H35" s="5"/>
      <c r="I35" s="28" t="s">
        <v>184</v>
      </c>
      <c r="J35" s="224">
        <f>'Dados Detalhados'!$L$412</f>
        <v>23611.11</v>
      </c>
      <c r="K35" s="43"/>
      <c r="L35" s="43"/>
      <c r="M35" s="78">
        <f t="shared" si="0"/>
        <v>23611.11</v>
      </c>
      <c r="N35" s="78">
        <f t="shared" si="1"/>
        <v>23611.11</v>
      </c>
      <c r="O35" s="78"/>
      <c r="P35" s="78"/>
      <c r="Q35" s="78"/>
      <c r="R35" s="78"/>
      <c r="S35" s="78"/>
      <c r="T35" s="78"/>
    </row>
    <row r="36" spans="1:20" ht="52.5" hidden="1" customHeight="1">
      <c r="A36" s="12">
        <v>31</v>
      </c>
      <c r="B36" s="14" t="s">
        <v>209</v>
      </c>
      <c r="C36" s="18" t="s">
        <v>208</v>
      </c>
      <c r="D36" s="6">
        <v>2</v>
      </c>
      <c r="E36" s="8" t="s">
        <v>144</v>
      </c>
      <c r="F36" s="8">
        <v>1</v>
      </c>
      <c r="G36" s="66" t="s">
        <v>398</v>
      </c>
      <c r="H36" s="5"/>
      <c r="I36" s="28" t="s">
        <v>184</v>
      </c>
      <c r="J36" s="42">
        <f>'Dados Detalhados'!$L$417</f>
        <v>1284</v>
      </c>
      <c r="K36" s="42"/>
      <c r="L36" s="42"/>
      <c r="M36" s="78">
        <f t="shared" si="0"/>
        <v>1284</v>
      </c>
      <c r="N36" s="78"/>
      <c r="O36" s="78"/>
      <c r="P36" s="78"/>
      <c r="Q36" s="78"/>
      <c r="R36" s="78"/>
      <c r="S36" s="78"/>
      <c r="T36" s="78">
        <f t="shared" si="3"/>
        <v>1284</v>
      </c>
    </row>
    <row r="37" spans="1:20" ht="52.5" customHeight="1">
      <c r="A37" s="12">
        <v>32</v>
      </c>
      <c r="B37" s="10" t="s">
        <v>207</v>
      </c>
      <c r="C37" s="14" t="s">
        <v>206</v>
      </c>
      <c r="D37" s="6">
        <v>1</v>
      </c>
      <c r="E37" s="8" t="s">
        <v>144</v>
      </c>
      <c r="F37" s="8">
        <v>1</v>
      </c>
      <c r="G37" s="66" t="s">
        <v>399</v>
      </c>
      <c r="H37" s="5"/>
      <c r="I37" s="28" t="s">
        <v>184</v>
      </c>
      <c r="J37" s="224">
        <f>'Dados Detalhados'!$L$419</f>
        <v>7000</v>
      </c>
      <c r="K37" s="43"/>
      <c r="L37" s="43"/>
      <c r="M37" s="78">
        <f t="shared" si="0"/>
        <v>7000</v>
      </c>
      <c r="N37" s="78">
        <f>+M37</f>
        <v>7000</v>
      </c>
      <c r="O37" s="78"/>
      <c r="P37" s="78"/>
      <c r="Q37" s="78"/>
      <c r="R37" s="78"/>
      <c r="S37" s="78"/>
      <c r="T37" s="78"/>
    </row>
    <row r="38" spans="1:20" ht="52.5" customHeight="1">
      <c r="A38" s="12">
        <v>33</v>
      </c>
      <c r="B38" s="10" t="s">
        <v>205</v>
      </c>
      <c r="C38" s="14" t="s">
        <v>204</v>
      </c>
      <c r="D38" s="6">
        <v>1</v>
      </c>
      <c r="E38" s="8" t="s">
        <v>144</v>
      </c>
      <c r="F38" s="8">
        <v>1</v>
      </c>
      <c r="G38" s="66" t="s">
        <v>399</v>
      </c>
      <c r="H38" s="5"/>
      <c r="I38" s="28" t="s">
        <v>184</v>
      </c>
      <c r="J38" s="224">
        <f>'Dados Detalhados'!$L$421</f>
        <v>5100</v>
      </c>
      <c r="K38" s="43"/>
      <c r="L38" s="43"/>
      <c r="M38" s="78">
        <f t="shared" si="0"/>
        <v>5100</v>
      </c>
      <c r="N38" s="78">
        <f t="shared" si="1"/>
        <v>5100</v>
      </c>
      <c r="O38" s="78"/>
      <c r="P38" s="78"/>
      <c r="Q38" s="78"/>
      <c r="R38" s="78"/>
      <c r="S38" s="78"/>
      <c r="T38" s="78"/>
    </row>
    <row r="39" spans="1:20" ht="52.5" customHeight="1">
      <c r="A39" s="12">
        <v>34</v>
      </c>
      <c r="B39" s="10" t="s">
        <v>203</v>
      </c>
      <c r="C39" s="14" t="s">
        <v>202</v>
      </c>
      <c r="D39" s="6">
        <v>1</v>
      </c>
      <c r="E39" s="8" t="s">
        <v>144</v>
      </c>
      <c r="F39" s="8">
        <v>1</v>
      </c>
      <c r="G39" s="66" t="s">
        <v>399</v>
      </c>
      <c r="H39" s="5"/>
      <c r="I39" s="28" t="s">
        <v>184</v>
      </c>
      <c r="J39" s="224">
        <f>'Dados Detalhados'!$L$423</f>
        <v>700</v>
      </c>
      <c r="K39" s="43"/>
      <c r="L39" s="43"/>
      <c r="M39" s="78">
        <f t="shared" si="0"/>
        <v>700</v>
      </c>
      <c r="N39" s="78">
        <f t="shared" si="1"/>
        <v>700</v>
      </c>
      <c r="O39" s="78"/>
      <c r="P39" s="78"/>
      <c r="Q39" s="78"/>
      <c r="R39" s="78"/>
      <c r="S39" s="78"/>
      <c r="T39" s="78"/>
    </row>
    <row r="40" spans="1:20" ht="67.5" hidden="1" customHeight="1">
      <c r="A40" s="12">
        <v>35</v>
      </c>
      <c r="B40" s="10" t="s">
        <v>200</v>
      </c>
      <c r="C40" s="14" t="s">
        <v>199</v>
      </c>
      <c r="D40" s="6">
        <v>2</v>
      </c>
      <c r="E40" s="8" t="s">
        <v>144</v>
      </c>
      <c r="F40" s="8">
        <v>1</v>
      </c>
      <c r="G40" s="66" t="s">
        <v>398</v>
      </c>
      <c r="H40" s="5"/>
      <c r="I40" s="28" t="s">
        <v>184</v>
      </c>
      <c r="J40" s="43">
        <v>0</v>
      </c>
      <c r="K40" s="43"/>
      <c r="L40" s="43"/>
      <c r="M40" s="78">
        <f t="shared" si="0"/>
        <v>0</v>
      </c>
      <c r="N40" s="78">
        <f t="shared" si="1"/>
        <v>0</v>
      </c>
      <c r="O40" s="78"/>
      <c r="P40" s="78"/>
      <c r="Q40" s="78"/>
      <c r="R40" s="78"/>
      <c r="S40" s="78"/>
      <c r="T40" s="78"/>
    </row>
    <row r="41" spans="1:20" ht="52.5" hidden="1" customHeight="1">
      <c r="A41" s="12">
        <v>36</v>
      </c>
      <c r="B41" s="10" t="s">
        <v>198</v>
      </c>
      <c r="C41" s="14" t="s">
        <v>197</v>
      </c>
      <c r="D41" s="6">
        <v>3</v>
      </c>
      <c r="E41" s="8" t="s">
        <v>144</v>
      </c>
      <c r="F41" s="8">
        <v>1</v>
      </c>
      <c r="G41" s="66" t="s">
        <v>397</v>
      </c>
      <c r="H41" s="5"/>
      <c r="I41" s="28" t="s">
        <v>184</v>
      </c>
      <c r="J41" s="43">
        <f>'Dados Detalhados'!$L$428</f>
        <v>16825</v>
      </c>
      <c r="K41" s="43"/>
      <c r="L41" s="43"/>
      <c r="M41" s="78">
        <f t="shared" si="0"/>
        <v>16825</v>
      </c>
      <c r="N41" s="78"/>
      <c r="O41" s="78"/>
      <c r="P41" s="78"/>
      <c r="Q41" s="78"/>
      <c r="R41" s="78"/>
      <c r="S41" s="78"/>
      <c r="T41" s="78">
        <f t="shared" si="3"/>
        <v>16825</v>
      </c>
    </row>
    <row r="42" spans="1:20" ht="52.5" customHeight="1">
      <c r="A42" s="12">
        <v>37</v>
      </c>
      <c r="B42" s="27" t="s">
        <v>196</v>
      </c>
      <c r="C42" s="14" t="s">
        <v>195</v>
      </c>
      <c r="D42" s="6">
        <v>1</v>
      </c>
      <c r="E42" s="8" t="s">
        <v>144</v>
      </c>
      <c r="F42" s="8">
        <v>1</v>
      </c>
      <c r="G42" s="66" t="s">
        <v>397</v>
      </c>
      <c r="H42" s="5" t="s">
        <v>328</v>
      </c>
      <c r="I42" s="28" t="s">
        <v>184</v>
      </c>
      <c r="J42" s="224">
        <f>'Dados Detalhados'!$L$433</f>
        <v>2313.6899999999996</v>
      </c>
      <c r="K42" s="224"/>
      <c r="L42" s="224"/>
      <c r="M42" s="78">
        <f t="shared" si="0"/>
        <v>2313.6899999999996</v>
      </c>
      <c r="N42" s="78">
        <f t="shared" si="1"/>
        <v>2313.6899999999996</v>
      </c>
      <c r="O42" s="78"/>
      <c r="P42" s="78"/>
      <c r="Q42" s="78"/>
      <c r="R42" s="78"/>
      <c r="S42" s="78"/>
      <c r="T42" s="78"/>
    </row>
    <row r="43" spans="1:20" ht="52.5" customHeight="1">
      <c r="A43" s="12">
        <v>38</v>
      </c>
      <c r="B43" s="10" t="s">
        <v>194</v>
      </c>
      <c r="C43" s="14" t="s">
        <v>193</v>
      </c>
      <c r="D43" s="6">
        <v>1</v>
      </c>
      <c r="E43" s="8" t="s">
        <v>144</v>
      </c>
      <c r="F43" s="8">
        <v>1</v>
      </c>
      <c r="G43" s="66" t="s">
        <v>398</v>
      </c>
      <c r="H43" s="5"/>
      <c r="I43" s="28" t="s">
        <v>184</v>
      </c>
      <c r="J43" s="224">
        <f>'Dados Detalhados'!$L$450</f>
        <v>1713.6</v>
      </c>
      <c r="K43" s="224"/>
      <c r="L43" s="224"/>
      <c r="M43" s="78">
        <f t="shared" si="0"/>
        <v>1713.6</v>
      </c>
      <c r="N43" s="78">
        <f t="shared" si="1"/>
        <v>1713.6</v>
      </c>
      <c r="O43" s="78"/>
      <c r="P43" s="78"/>
      <c r="Q43" s="78"/>
      <c r="R43" s="78"/>
      <c r="S43" s="78"/>
      <c r="T43" s="78"/>
    </row>
    <row r="44" spans="1:20" ht="52.5" customHeight="1">
      <c r="A44" s="12">
        <v>39</v>
      </c>
      <c r="B44" s="10" t="s">
        <v>192</v>
      </c>
      <c r="C44" s="14" t="s">
        <v>191</v>
      </c>
      <c r="D44" s="6">
        <v>1</v>
      </c>
      <c r="E44" s="8" t="s">
        <v>144</v>
      </c>
      <c r="F44" s="8">
        <v>1</v>
      </c>
      <c r="G44" s="66" t="s">
        <v>398</v>
      </c>
      <c r="H44" s="5"/>
      <c r="I44" s="28" t="s">
        <v>184</v>
      </c>
      <c r="J44" s="48">
        <f>'Dados Detalhados'!$L$453</f>
        <v>400</v>
      </c>
      <c r="K44" s="48"/>
      <c r="L44" s="48"/>
      <c r="M44" s="78">
        <f t="shared" si="0"/>
        <v>400</v>
      </c>
      <c r="N44" s="78"/>
      <c r="O44" s="78"/>
      <c r="P44" s="78"/>
      <c r="Q44" s="78"/>
      <c r="R44" s="78">
        <f t="shared" si="4"/>
        <v>400</v>
      </c>
      <c r="S44" s="78"/>
      <c r="T44" s="78"/>
    </row>
    <row r="45" spans="1:20" ht="52.5" customHeight="1">
      <c r="A45" s="12">
        <v>40</v>
      </c>
      <c r="B45" s="60" t="s">
        <v>190</v>
      </c>
      <c r="C45" s="60" t="s">
        <v>189</v>
      </c>
      <c r="D45" s="6">
        <v>1</v>
      </c>
      <c r="E45" s="8" t="s">
        <v>144</v>
      </c>
      <c r="F45" s="8">
        <v>1</v>
      </c>
      <c r="G45" s="66" t="s">
        <v>398</v>
      </c>
      <c r="H45" s="5"/>
      <c r="I45" s="28" t="s">
        <v>184</v>
      </c>
      <c r="J45" s="224">
        <f>'Dados Detalhados'!$L$455</f>
        <v>16084</v>
      </c>
      <c r="K45" s="43"/>
      <c r="L45" s="43"/>
      <c r="M45" s="78">
        <f t="shared" si="0"/>
        <v>16084</v>
      </c>
      <c r="N45" s="78">
        <f t="shared" si="1"/>
        <v>16084</v>
      </c>
      <c r="O45" s="78"/>
      <c r="P45" s="78"/>
      <c r="Q45" s="78"/>
      <c r="R45" s="78"/>
      <c r="S45" s="78"/>
      <c r="T45" s="78"/>
    </row>
    <row r="46" spans="1:20" ht="52.5" customHeight="1">
      <c r="A46" s="12">
        <v>41</v>
      </c>
      <c r="B46" s="60" t="s">
        <v>188</v>
      </c>
      <c r="C46" s="60" t="s">
        <v>187</v>
      </c>
      <c r="D46" s="6">
        <v>1</v>
      </c>
      <c r="E46" s="8" t="s">
        <v>144</v>
      </c>
      <c r="F46" s="8">
        <v>1</v>
      </c>
      <c r="G46" s="66" t="s">
        <v>398</v>
      </c>
      <c r="H46" s="5"/>
      <c r="I46" s="28" t="s">
        <v>184</v>
      </c>
      <c r="J46" s="224">
        <f>'Dados Detalhados'!$L$457</f>
        <v>5748.5</v>
      </c>
      <c r="K46" s="43"/>
      <c r="L46" s="43"/>
      <c r="M46" s="78">
        <f t="shared" si="0"/>
        <v>5748.5</v>
      </c>
      <c r="N46" s="78">
        <f t="shared" si="1"/>
        <v>5748.5</v>
      </c>
      <c r="O46" s="78"/>
      <c r="P46" s="78"/>
      <c r="Q46" s="78"/>
      <c r="R46" s="78"/>
      <c r="S46" s="78"/>
      <c r="T46" s="78"/>
    </row>
    <row r="47" spans="1:20" ht="52.5" hidden="1" customHeight="1">
      <c r="A47" s="12">
        <v>42</v>
      </c>
      <c r="B47" s="10" t="s">
        <v>186</v>
      </c>
      <c r="C47" s="14" t="s">
        <v>185</v>
      </c>
      <c r="D47" s="6">
        <v>3</v>
      </c>
      <c r="E47" s="8" t="s">
        <v>144</v>
      </c>
      <c r="F47" s="8">
        <v>1</v>
      </c>
      <c r="G47" s="66" t="s">
        <v>397</v>
      </c>
      <c r="H47" s="5"/>
      <c r="I47" s="28" t="s">
        <v>184</v>
      </c>
      <c r="J47" s="43">
        <f>'Dados Detalhados'!$L$475</f>
        <v>4411.3900000000003</v>
      </c>
      <c r="K47" s="43"/>
      <c r="L47" s="43"/>
      <c r="M47" s="78">
        <f t="shared" si="0"/>
        <v>4411.3900000000003</v>
      </c>
      <c r="N47" s="78"/>
      <c r="O47" s="78"/>
      <c r="P47" s="78"/>
      <c r="Q47" s="78"/>
      <c r="R47" s="78"/>
      <c r="S47" s="78"/>
      <c r="T47" s="78">
        <f t="shared" si="3"/>
        <v>4411.3900000000003</v>
      </c>
    </row>
    <row r="48" spans="1:20" s="156" customFormat="1" ht="52.5" customHeight="1">
      <c r="A48" s="150">
        <v>43</v>
      </c>
      <c r="B48" s="11" t="s">
        <v>183</v>
      </c>
      <c r="C48" s="11" t="s">
        <v>182</v>
      </c>
      <c r="D48" s="151">
        <v>1</v>
      </c>
      <c r="E48" s="33" t="s">
        <v>389</v>
      </c>
      <c r="F48" s="33">
        <v>2</v>
      </c>
      <c r="G48" s="66" t="s">
        <v>400</v>
      </c>
      <c r="H48" s="153" t="s">
        <v>327</v>
      </c>
      <c r="I48" s="50" t="s">
        <v>165</v>
      </c>
      <c r="J48" s="43"/>
      <c r="K48" s="43"/>
      <c r="L48" s="43"/>
      <c r="M48" s="78">
        <f t="shared" si="0"/>
        <v>0</v>
      </c>
      <c r="N48" s="78">
        <f t="shared" si="1"/>
        <v>0</v>
      </c>
      <c r="O48" s="78"/>
      <c r="P48" s="78"/>
      <c r="Q48" s="78"/>
      <c r="R48" s="78"/>
      <c r="S48" s="152"/>
      <c r="T48" s="78"/>
    </row>
    <row r="49" spans="1:20" ht="52.5" customHeight="1">
      <c r="A49" s="12">
        <v>44</v>
      </c>
      <c r="B49" s="10" t="s">
        <v>180</v>
      </c>
      <c r="C49" s="14" t="s">
        <v>181</v>
      </c>
      <c r="D49" s="6">
        <v>1</v>
      </c>
      <c r="E49" s="8" t="s">
        <v>389</v>
      </c>
      <c r="F49" s="8">
        <v>2</v>
      </c>
      <c r="G49" s="66" t="s">
        <v>400</v>
      </c>
      <c r="H49" s="5" t="s">
        <v>326</v>
      </c>
      <c r="I49" s="28" t="s">
        <v>165</v>
      </c>
      <c r="J49" s="43">
        <v>0</v>
      </c>
      <c r="K49" s="43"/>
      <c r="L49" s="43"/>
      <c r="M49" s="78">
        <f t="shared" si="0"/>
        <v>0</v>
      </c>
      <c r="N49" s="78">
        <f t="shared" si="1"/>
        <v>0</v>
      </c>
      <c r="O49" s="78"/>
      <c r="P49" s="78"/>
      <c r="Q49" s="78"/>
      <c r="R49" s="78"/>
      <c r="S49" s="78"/>
      <c r="T49" s="78"/>
    </row>
    <row r="50" spans="1:20" ht="52.5" customHeight="1">
      <c r="A50" s="12">
        <v>45</v>
      </c>
      <c r="B50" s="10" t="s">
        <v>179</v>
      </c>
      <c r="C50" s="14" t="s">
        <v>178</v>
      </c>
      <c r="D50" s="6">
        <v>1</v>
      </c>
      <c r="E50" s="8" t="s">
        <v>389</v>
      </c>
      <c r="F50" s="8">
        <v>2</v>
      </c>
      <c r="G50" s="66" t="s">
        <v>400</v>
      </c>
      <c r="H50" s="5"/>
      <c r="I50" s="28" t="s">
        <v>165</v>
      </c>
      <c r="J50" s="43"/>
      <c r="K50" s="224"/>
      <c r="L50" s="43"/>
      <c r="M50" s="78">
        <f t="shared" si="0"/>
        <v>0</v>
      </c>
      <c r="N50" s="78">
        <f t="shared" si="1"/>
        <v>0</v>
      </c>
      <c r="O50" s="78"/>
      <c r="P50" s="78"/>
      <c r="Q50" s="78"/>
      <c r="R50" s="78"/>
      <c r="S50" s="78"/>
      <c r="T50" s="78"/>
    </row>
    <row r="51" spans="1:20" ht="52.5" customHeight="1">
      <c r="A51" s="12">
        <v>46</v>
      </c>
      <c r="B51" s="10" t="s">
        <v>177</v>
      </c>
      <c r="C51" s="14" t="s">
        <v>176</v>
      </c>
      <c r="D51" s="6">
        <v>1</v>
      </c>
      <c r="E51" s="8" t="s">
        <v>389</v>
      </c>
      <c r="F51" s="8">
        <v>2</v>
      </c>
      <c r="G51" s="66" t="s">
        <v>400</v>
      </c>
      <c r="H51" s="5"/>
      <c r="I51" s="28" t="s">
        <v>165</v>
      </c>
      <c r="J51" s="42">
        <f>'Dados Detalhados'!$L$514</f>
        <v>0</v>
      </c>
      <c r="K51" s="42"/>
      <c r="L51" s="42"/>
      <c r="M51" s="78">
        <f t="shared" si="0"/>
        <v>0</v>
      </c>
      <c r="N51" s="78">
        <f t="shared" si="1"/>
        <v>0</v>
      </c>
      <c r="O51" s="78">
        <f t="shared" si="5"/>
        <v>0</v>
      </c>
      <c r="P51" s="78">
        <f t="shared" si="2"/>
        <v>0</v>
      </c>
      <c r="Q51" s="78">
        <f t="shared" si="6"/>
        <v>0</v>
      </c>
      <c r="R51" s="78">
        <f t="shared" si="4"/>
        <v>0</v>
      </c>
      <c r="S51" s="78"/>
      <c r="T51" s="78">
        <f t="shared" si="3"/>
        <v>0</v>
      </c>
    </row>
    <row r="52" spans="1:20" ht="52.5" hidden="1" customHeight="1">
      <c r="A52" s="12">
        <v>47</v>
      </c>
      <c r="B52" s="10" t="s">
        <v>175</v>
      </c>
      <c r="C52" s="14" t="s">
        <v>174</v>
      </c>
      <c r="D52" s="6">
        <v>2</v>
      </c>
      <c r="E52" s="8" t="s">
        <v>389</v>
      </c>
      <c r="F52" s="8">
        <v>2</v>
      </c>
      <c r="G52" s="66" t="s">
        <v>400</v>
      </c>
      <c r="H52" s="5" t="s">
        <v>325</v>
      </c>
      <c r="I52" s="28" t="s">
        <v>165</v>
      </c>
      <c r="J52" s="43">
        <v>0</v>
      </c>
      <c r="K52" s="43"/>
      <c r="L52" s="43"/>
      <c r="M52" s="78">
        <f t="shared" si="0"/>
        <v>0</v>
      </c>
      <c r="N52" s="78"/>
      <c r="O52" s="78"/>
      <c r="P52" s="78">
        <f t="shared" si="2"/>
        <v>0</v>
      </c>
      <c r="Q52" s="78"/>
      <c r="R52" s="78"/>
      <c r="S52" s="78"/>
      <c r="T52" s="78"/>
    </row>
    <row r="53" spans="1:20" ht="52.5" hidden="1" customHeight="1">
      <c r="A53" s="12">
        <v>48</v>
      </c>
      <c r="B53" s="10" t="s">
        <v>173</v>
      </c>
      <c r="C53" s="14" t="s">
        <v>172</v>
      </c>
      <c r="D53" s="6">
        <v>3</v>
      </c>
      <c r="E53" s="8" t="s">
        <v>389</v>
      </c>
      <c r="F53" s="8">
        <v>2</v>
      </c>
      <c r="G53" s="66" t="s">
        <v>400</v>
      </c>
      <c r="H53" s="5" t="s">
        <v>324</v>
      </c>
      <c r="I53" s="28" t="s">
        <v>165</v>
      </c>
      <c r="J53" s="224">
        <f>'Dados Detalhados'!$L$520</f>
        <v>1593.33</v>
      </c>
      <c r="K53" s="224"/>
      <c r="L53" s="224"/>
      <c r="M53" s="78">
        <f t="shared" si="0"/>
        <v>1593.33</v>
      </c>
      <c r="N53" s="78">
        <f t="shared" si="1"/>
        <v>1593.33</v>
      </c>
      <c r="O53" s="78"/>
      <c r="P53" s="78"/>
      <c r="Q53" s="78"/>
      <c r="R53" s="78"/>
      <c r="S53" s="78"/>
      <c r="T53" s="78"/>
    </row>
    <row r="54" spans="1:20" ht="52.5" customHeight="1">
      <c r="A54" s="12">
        <v>49</v>
      </c>
      <c r="B54" s="10" t="s">
        <v>171</v>
      </c>
      <c r="C54" s="14" t="s">
        <v>170</v>
      </c>
      <c r="D54" s="6">
        <v>1</v>
      </c>
      <c r="E54" s="8" t="s">
        <v>389</v>
      </c>
      <c r="F54" s="8">
        <v>2</v>
      </c>
      <c r="G54" s="66" t="s">
        <v>400</v>
      </c>
      <c r="H54" s="5" t="s">
        <v>323</v>
      </c>
      <c r="I54" s="28" t="s">
        <v>165</v>
      </c>
      <c r="J54" s="43"/>
      <c r="K54" s="224"/>
      <c r="L54" s="43"/>
      <c r="M54" s="78">
        <f t="shared" si="0"/>
        <v>0</v>
      </c>
      <c r="N54" s="78">
        <f t="shared" si="1"/>
        <v>0</v>
      </c>
      <c r="O54" s="78"/>
      <c r="P54" s="78"/>
      <c r="Q54" s="78"/>
      <c r="R54" s="78"/>
      <c r="S54" s="78"/>
      <c r="T54" s="78"/>
    </row>
    <row r="55" spans="1:20" ht="52.5" hidden="1" customHeight="1">
      <c r="A55" s="12">
        <v>50</v>
      </c>
      <c r="B55" s="10" t="s">
        <v>169</v>
      </c>
      <c r="C55" s="14" t="s">
        <v>168</v>
      </c>
      <c r="D55" s="6">
        <v>3</v>
      </c>
      <c r="E55" s="8" t="s">
        <v>389</v>
      </c>
      <c r="F55" s="8">
        <v>2</v>
      </c>
      <c r="G55" s="66" t="s">
        <v>400</v>
      </c>
      <c r="H55" s="5" t="s">
        <v>322</v>
      </c>
      <c r="I55" s="28" t="s">
        <v>165</v>
      </c>
      <c r="J55" s="224">
        <f>'Dados Detalhados'!$L$539</f>
        <v>3141.11</v>
      </c>
      <c r="K55" s="47"/>
      <c r="L55" s="47"/>
      <c r="M55" s="78">
        <f t="shared" si="0"/>
        <v>3141.11</v>
      </c>
      <c r="N55" s="78">
        <f t="shared" si="1"/>
        <v>3141.11</v>
      </c>
      <c r="O55" s="78"/>
      <c r="P55" s="78"/>
      <c r="Q55" s="78"/>
      <c r="R55" s="78"/>
      <c r="S55" s="78"/>
      <c r="T55" s="78"/>
    </row>
    <row r="56" spans="1:20" ht="52.5" hidden="1" customHeight="1">
      <c r="A56" s="12">
        <v>51</v>
      </c>
      <c r="B56" s="10" t="s">
        <v>167</v>
      </c>
      <c r="C56" s="14" t="s">
        <v>166</v>
      </c>
      <c r="D56" s="6">
        <v>3</v>
      </c>
      <c r="E56" s="8" t="s">
        <v>389</v>
      </c>
      <c r="F56" s="8">
        <v>2</v>
      </c>
      <c r="G56" s="66" t="s">
        <v>400</v>
      </c>
      <c r="H56" s="5" t="s">
        <v>321</v>
      </c>
      <c r="I56" s="28" t="s">
        <v>165</v>
      </c>
      <c r="J56" s="224">
        <f>'Dados Detalhados'!$L$551</f>
        <v>374.67</v>
      </c>
      <c r="K56" s="224"/>
      <c r="L56" s="224"/>
      <c r="M56" s="78">
        <f t="shared" si="0"/>
        <v>374.67</v>
      </c>
      <c r="N56" s="78">
        <f t="shared" si="1"/>
        <v>374.67</v>
      </c>
      <c r="O56" s="78"/>
      <c r="P56" s="78"/>
      <c r="Q56" s="78"/>
      <c r="R56" s="78"/>
      <c r="S56" s="78"/>
      <c r="T56" s="78"/>
    </row>
    <row r="57" spans="1:20" ht="52.5" customHeight="1">
      <c r="A57" s="12">
        <v>52</v>
      </c>
      <c r="B57" s="10" t="s">
        <v>164</v>
      </c>
      <c r="C57" s="14" t="s">
        <v>163</v>
      </c>
      <c r="D57" s="6">
        <v>1</v>
      </c>
      <c r="E57" s="8" t="s">
        <v>390</v>
      </c>
      <c r="F57" s="8">
        <v>3</v>
      </c>
      <c r="G57" s="66" t="s">
        <v>403</v>
      </c>
      <c r="H57" s="5" t="s">
        <v>320</v>
      </c>
      <c r="I57" s="28" t="s">
        <v>143</v>
      </c>
      <c r="J57" s="224">
        <f>'Dados Detalhados'!$L$556</f>
        <v>3722.2200000000003</v>
      </c>
      <c r="K57" s="224"/>
      <c r="L57" s="224"/>
      <c r="M57" s="78">
        <f t="shared" si="0"/>
        <v>3722.2200000000003</v>
      </c>
      <c r="N57" s="78">
        <f t="shared" si="1"/>
        <v>3722.2200000000003</v>
      </c>
      <c r="O57" s="78"/>
      <c r="P57" s="78"/>
      <c r="Q57" s="78"/>
      <c r="R57" s="78"/>
      <c r="S57" s="78"/>
      <c r="T57" s="78"/>
    </row>
    <row r="58" spans="1:20" ht="52.5" customHeight="1">
      <c r="A58" s="12">
        <v>53</v>
      </c>
      <c r="B58" s="10" t="s">
        <v>162</v>
      </c>
      <c r="C58" s="14" t="s">
        <v>161</v>
      </c>
      <c r="D58" s="6">
        <v>1</v>
      </c>
      <c r="E58" s="8" t="s">
        <v>390</v>
      </c>
      <c r="F58" s="8">
        <v>3</v>
      </c>
      <c r="G58" s="66" t="s">
        <v>403</v>
      </c>
      <c r="H58" s="5" t="s">
        <v>319</v>
      </c>
      <c r="I58" s="28" t="s">
        <v>143</v>
      </c>
      <c r="J58" s="224">
        <f>'Dados Detalhados'!$L$560</f>
        <v>3722.2200000000003</v>
      </c>
      <c r="K58" s="224"/>
      <c r="L58" s="224"/>
      <c r="M58" s="78">
        <f t="shared" si="0"/>
        <v>3722.2200000000003</v>
      </c>
      <c r="N58" s="78">
        <f t="shared" si="1"/>
        <v>3722.2200000000003</v>
      </c>
      <c r="O58" s="78"/>
      <c r="P58" s="78"/>
      <c r="Q58" s="78"/>
      <c r="R58" s="78"/>
      <c r="S58" s="78"/>
      <c r="T58" s="78"/>
    </row>
    <row r="59" spans="1:20" ht="52.5" hidden="1" customHeight="1">
      <c r="A59" s="12">
        <v>54</v>
      </c>
      <c r="B59" s="10" t="s">
        <v>160</v>
      </c>
      <c r="C59" s="14" t="s">
        <v>867</v>
      </c>
      <c r="D59" s="6">
        <v>2</v>
      </c>
      <c r="E59" s="8" t="s">
        <v>389</v>
      </c>
      <c r="F59" s="8">
        <v>2</v>
      </c>
      <c r="G59" s="21" t="s">
        <v>866</v>
      </c>
      <c r="H59" s="5" t="s">
        <v>318</v>
      </c>
      <c r="I59" s="28" t="s">
        <v>143</v>
      </c>
      <c r="J59" s="47"/>
      <c r="K59" s="224"/>
      <c r="L59" s="43"/>
      <c r="M59" s="78">
        <f t="shared" si="0"/>
        <v>0</v>
      </c>
      <c r="N59" s="78">
        <f t="shared" si="1"/>
        <v>0</v>
      </c>
      <c r="O59" s="78"/>
      <c r="P59" s="78"/>
      <c r="Q59" s="78"/>
      <c r="R59" s="78"/>
      <c r="S59" s="78"/>
      <c r="T59" s="78"/>
    </row>
    <row r="60" spans="1:20" ht="52.5" customHeight="1">
      <c r="A60" s="12" t="s">
        <v>870</v>
      </c>
      <c r="B60" s="10" t="s">
        <v>868</v>
      </c>
      <c r="C60" s="14" t="s">
        <v>871</v>
      </c>
      <c r="D60" s="6">
        <v>1</v>
      </c>
      <c r="E60" s="8" t="s">
        <v>389</v>
      </c>
      <c r="F60" s="8">
        <v>2</v>
      </c>
      <c r="G60" s="21" t="s">
        <v>866</v>
      </c>
      <c r="H60" s="5"/>
      <c r="I60" s="28"/>
      <c r="J60" s="224">
        <f>'Dados Detalhados'!$L$568</f>
        <v>11000</v>
      </c>
      <c r="K60" s="43"/>
      <c r="L60" s="43"/>
      <c r="M60" s="78">
        <f t="shared" si="0"/>
        <v>11000</v>
      </c>
      <c r="N60" s="78">
        <f t="shared" si="1"/>
        <v>11000</v>
      </c>
      <c r="O60" s="78"/>
      <c r="P60" s="78"/>
      <c r="Q60" s="78"/>
      <c r="R60" s="78"/>
      <c r="S60" s="78"/>
      <c r="T60" s="78"/>
    </row>
    <row r="61" spans="1:20" ht="52.5" customHeight="1">
      <c r="A61" s="12">
        <v>54.2</v>
      </c>
      <c r="B61" s="10" t="s">
        <v>869</v>
      </c>
      <c r="C61" s="14" t="s">
        <v>872</v>
      </c>
      <c r="D61" s="6">
        <v>1</v>
      </c>
      <c r="E61" s="8" t="s">
        <v>389</v>
      </c>
      <c r="F61" s="8">
        <v>2</v>
      </c>
      <c r="G61" s="21" t="s">
        <v>866</v>
      </c>
      <c r="H61" s="5"/>
      <c r="I61" s="28"/>
      <c r="J61" s="43"/>
      <c r="K61" s="224"/>
      <c r="L61" s="43"/>
      <c r="M61" s="78">
        <f t="shared" si="0"/>
        <v>0</v>
      </c>
      <c r="N61" s="78">
        <f t="shared" si="1"/>
        <v>0</v>
      </c>
      <c r="O61" s="78"/>
      <c r="P61" s="78"/>
      <c r="Q61" s="78"/>
      <c r="R61" s="78"/>
      <c r="S61" s="78"/>
      <c r="T61" s="78"/>
    </row>
    <row r="62" spans="1:20" ht="52.5" hidden="1" customHeight="1">
      <c r="A62" s="12">
        <v>55</v>
      </c>
      <c r="B62" s="10" t="s">
        <v>158</v>
      </c>
      <c r="C62" s="14" t="s">
        <v>157</v>
      </c>
      <c r="D62" s="6">
        <v>2</v>
      </c>
      <c r="E62" s="8" t="s">
        <v>144</v>
      </c>
      <c r="F62" s="8">
        <v>1</v>
      </c>
      <c r="G62" s="66" t="s">
        <v>397</v>
      </c>
      <c r="H62" s="5" t="s">
        <v>317</v>
      </c>
      <c r="I62" s="28" t="s">
        <v>143</v>
      </c>
      <c r="J62" s="48">
        <f>'Dados Detalhados'!$L$574</f>
        <v>92.829999999999984</v>
      </c>
      <c r="K62" s="48"/>
      <c r="L62" s="48"/>
      <c r="M62" s="78">
        <f t="shared" si="0"/>
        <v>92.829999999999984</v>
      </c>
      <c r="N62" s="78"/>
      <c r="O62" s="78"/>
      <c r="P62" s="78"/>
      <c r="Q62" s="78"/>
      <c r="R62" s="78">
        <f t="shared" si="4"/>
        <v>92.829999999999984</v>
      </c>
      <c r="S62" s="78"/>
      <c r="T62" s="78"/>
    </row>
    <row r="63" spans="1:20" ht="58.5" customHeight="1">
      <c r="A63" s="12">
        <v>56</v>
      </c>
      <c r="B63" s="10" t="s">
        <v>155</v>
      </c>
      <c r="C63" s="14" t="s">
        <v>156</v>
      </c>
      <c r="D63" s="6">
        <v>1</v>
      </c>
      <c r="E63" s="8" t="s">
        <v>390</v>
      </c>
      <c r="F63" s="8">
        <v>3</v>
      </c>
      <c r="G63" s="66" t="s">
        <v>404</v>
      </c>
      <c r="H63" s="5" t="s">
        <v>316</v>
      </c>
      <c r="I63" s="28" t="s">
        <v>143</v>
      </c>
      <c r="J63" s="43">
        <v>0</v>
      </c>
      <c r="K63" s="43"/>
      <c r="L63" s="43"/>
      <c r="M63" s="78">
        <f t="shared" si="0"/>
        <v>0</v>
      </c>
      <c r="N63" s="78">
        <f t="shared" si="1"/>
        <v>0</v>
      </c>
      <c r="O63" s="78"/>
      <c r="P63" s="78"/>
      <c r="Q63" s="78"/>
      <c r="R63" s="78"/>
      <c r="S63" s="78"/>
      <c r="T63" s="78"/>
    </row>
    <row r="64" spans="1:20" ht="52.5" hidden="1" customHeight="1">
      <c r="A64" s="12">
        <v>57</v>
      </c>
      <c r="B64" s="10" t="s">
        <v>154</v>
      </c>
      <c r="C64" s="14" t="s">
        <v>153</v>
      </c>
      <c r="D64" s="6">
        <v>2</v>
      </c>
      <c r="E64" s="8" t="s">
        <v>390</v>
      </c>
      <c r="F64" s="8">
        <v>3</v>
      </c>
      <c r="G64" s="66" t="s">
        <v>404</v>
      </c>
      <c r="H64" s="5"/>
      <c r="I64" s="28" t="s">
        <v>143</v>
      </c>
      <c r="J64" s="43">
        <f>'Dados Detalhados'!$L$593</f>
        <v>19562.87</v>
      </c>
      <c r="K64" s="43"/>
      <c r="L64" s="43"/>
      <c r="M64" s="78">
        <f t="shared" si="0"/>
        <v>19562.87</v>
      </c>
      <c r="N64" s="78"/>
      <c r="O64" s="78"/>
      <c r="P64" s="78"/>
      <c r="Q64" s="78"/>
      <c r="R64" s="78"/>
      <c r="S64" s="78"/>
      <c r="T64" s="78">
        <f t="shared" si="3"/>
        <v>19562.87</v>
      </c>
    </row>
    <row r="65" spans="1:20" ht="52.5" customHeight="1">
      <c r="A65" s="12">
        <v>58</v>
      </c>
      <c r="B65" s="10" t="s">
        <v>152</v>
      </c>
      <c r="C65" s="14" t="s">
        <v>151</v>
      </c>
      <c r="D65" s="6">
        <v>1</v>
      </c>
      <c r="E65" s="8" t="s">
        <v>390</v>
      </c>
      <c r="F65" s="8">
        <v>3</v>
      </c>
      <c r="G65" s="66" t="s">
        <v>403</v>
      </c>
      <c r="H65" s="5" t="s">
        <v>315</v>
      </c>
      <c r="I65" s="28" t="s">
        <v>143</v>
      </c>
      <c r="J65" s="224">
        <f>'Dados Detalhados'!$L$609</f>
        <v>18499.990000000002</v>
      </c>
      <c r="K65" s="224"/>
      <c r="L65" s="224"/>
      <c r="M65" s="78">
        <f t="shared" si="0"/>
        <v>18499.990000000002</v>
      </c>
      <c r="N65" s="78">
        <f t="shared" si="1"/>
        <v>18499.990000000002</v>
      </c>
      <c r="O65" s="78"/>
      <c r="P65" s="78"/>
      <c r="Q65" s="78"/>
      <c r="R65" s="78"/>
      <c r="S65" s="78"/>
      <c r="T65" s="78"/>
    </row>
    <row r="66" spans="1:20" ht="52.5" hidden="1" customHeight="1">
      <c r="A66" s="12">
        <v>59</v>
      </c>
      <c r="B66" s="10" t="s">
        <v>150</v>
      </c>
      <c r="C66" s="14" t="s">
        <v>149</v>
      </c>
      <c r="D66" s="6">
        <v>2</v>
      </c>
      <c r="E66" s="8" t="s">
        <v>390</v>
      </c>
      <c r="F66" s="8">
        <v>3</v>
      </c>
      <c r="G66" s="66" t="s">
        <v>403</v>
      </c>
      <c r="H66" s="5" t="s">
        <v>314</v>
      </c>
      <c r="I66" s="28" t="s">
        <v>143</v>
      </c>
      <c r="J66" s="224">
        <f>'Dados Detalhados'!$L$623</f>
        <v>11333.33</v>
      </c>
      <c r="K66" s="224"/>
      <c r="L66" s="224"/>
      <c r="M66" s="78">
        <f t="shared" si="0"/>
        <v>11333.33</v>
      </c>
      <c r="N66" s="78">
        <f t="shared" si="1"/>
        <v>11333.33</v>
      </c>
      <c r="O66" s="78"/>
      <c r="P66" s="78"/>
      <c r="Q66" s="78"/>
      <c r="R66" s="78"/>
      <c r="S66" s="78"/>
      <c r="T66" s="78"/>
    </row>
    <row r="67" spans="1:20" ht="52.5" hidden="1" customHeight="1">
      <c r="A67" s="12">
        <v>60</v>
      </c>
      <c r="B67" s="10" t="s">
        <v>148</v>
      </c>
      <c r="C67" s="14" t="s">
        <v>147</v>
      </c>
      <c r="D67" s="6">
        <v>2</v>
      </c>
      <c r="E67" s="8" t="s">
        <v>390</v>
      </c>
      <c r="F67" s="8">
        <v>3</v>
      </c>
      <c r="G67" s="66" t="s">
        <v>403</v>
      </c>
      <c r="H67" s="5"/>
      <c r="I67" s="28" t="s">
        <v>143</v>
      </c>
      <c r="J67" s="43">
        <v>0</v>
      </c>
      <c r="K67" s="43"/>
      <c r="L67" s="43"/>
      <c r="M67" s="78">
        <f t="shared" si="0"/>
        <v>0</v>
      </c>
      <c r="N67" s="78">
        <f t="shared" si="1"/>
        <v>0</v>
      </c>
      <c r="O67" s="78"/>
      <c r="P67" s="78"/>
      <c r="Q67" s="78"/>
      <c r="R67" s="78"/>
      <c r="S67" s="78"/>
      <c r="T67" s="78"/>
    </row>
    <row r="68" spans="1:20" ht="52.5" hidden="1" customHeight="1">
      <c r="A68" s="12">
        <v>61</v>
      </c>
      <c r="B68" s="10" t="s">
        <v>146</v>
      </c>
      <c r="C68" s="14" t="s">
        <v>145</v>
      </c>
      <c r="D68" s="6">
        <v>2</v>
      </c>
      <c r="E68" s="8" t="s">
        <v>390</v>
      </c>
      <c r="F68" s="8">
        <v>3</v>
      </c>
      <c r="G68" s="66" t="s">
        <v>403</v>
      </c>
      <c r="H68" s="5"/>
      <c r="I68" s="28" t="s">
        <v>143</v>
      </c>
      <c r="J68" s="43"/>
      <c r="K68" s="43"/>
      <c r="L68" s="43"/>
      <c r="M68" s="78">
        <f t="shared" si="0"/>
        <v>0</v>
      </c>
      <c r="N68" s="78"/>
      <c r="O68" s="78"/>
      <c r="P68" s="78"/>
      <c r="Q68" s="78"/>
      <c r="R68" s="78"/>
      <c r="S68" s="78"/>
      <c r="T68" s="78">
        <f t="shared" si="3"/>
        <v>0</v>
      </c>
    </row>
    <row r="69" spans="1:20" ht="52.5" hidden="1" customHeight="1">
      <c r="A69" s="12">
        <v>62</v>
      </c>
      <c r="B69" s="10" t="s">
        <v>142</v>
      </c>
      <c r="C69" s="11" t="s">
        <v>141</v>
      </c>
      <c r="D69" s="16">
        <v>3</v>
      </c>
      <c r="E69" s="19" t="s">
        <v>390</v>
      </c>
      <c r="F69" s="19">
        <v>3</v>
      </c>
      <c r="G69" s="66" t="s">
        <v>401</v>
      </c>
      <c r="H69" s="5" t="s">
        <v>313</v>
      </c>
      <c r="I69" s="31" t="s">
        <v>107</v>
      </c>
      <c r="J69" s="45">
        <f>'Dados Detalhados'!$L$658</f>
        <v>4500</v>
      </c>
      <c r="K69" s="43"/>
      <c r="L69" s="43"/>
      <c r="M69" s="78">
        <f t="shared" si="0"/>
        <v>4500</v>
      </c>
      <c r="N69" s="78">
        <f t="shared" si="1"/>
        <v>4500</v>
      </c>
      <c r="O69" s="78"/>
      <c r="P69" s="78"/>
      <c r="Q69" s="78"/>
      <c r="R69" s="78"/>
      <c r="S69" s="78"/>
      <c r="T69" s="78"/>
    </row>
    <row r="70" spans="1:20" ht="52.5" customHeight="1">
      <c r="A70" s="12">
        <v>63</v>
      </c>
      <c r="B70" s="10" t="s">
        <v>140</v>
      </c>
      <c r="C70" s="14" t="s">
        <v>139</v>
      </c>
      <c r="D70" s="16">
        <v>1</v>
      </c>
      <c r="E70" s="8" t="s">
        <v>390</v>
      </c>
      <c r="F70" s="19">
        <v>3</v>
      </c>
      <c r="G70" s="66" t="s">
        <v>401</v>
      </c>
      <c r="H70" s="5" t="s">
        <v>312</v>
      </c>
      <c r="I70" s="28" t="s">
        <v>107</v>
      </c>
      <c r="J70" s="224">
        <f>'Dados Detalhados'!$L$663</f>
        <v>13953</v>
      </c>
      <c r="K70" s="43"/>
      <c r="L70" s="224"/>
      <c r="M70" s="78">
        <f t="shared" ref="M70:M133" si="7">+J70+K70+L70</f>
        <v>13953</v>
      </c>
      <c r="N70" s="78">
        <f t="shared" si="1"/>
        <v>13953</v>
      </c>
      <c r="O70" s="78"/>
      <c r="P70" s="78"/>
      <c r="Q70" s="78"/>
      <c r="R70" s="78"/>
      <c r="S70" s="78"/>
      <c r="T70" s="78"/>
    </row>
    <row r="71" spans="1:20" ht="52.5" customHeight="1">
      <c r="A71" s="12">
        <v>64</v>
      </c>
      <c r="B71" s="10" t="s">
        <v>138</v>
      </c>
      <c r="C71" s="14" t="s">
        <v>335</v>
      </c>
      <c r="D71" s="16">
        <v>1</v>
      </c>
      <c r="E71" s="8" t="s">
        <v>390</v>
      </c>
      <c r="F71" s="19">
        <v>3</v>
      </c>
      <c r="G71" s="66" t="s">
        <v>401</v>
      </c>
      <c r="H71" s="5" t="s">
        <v>311</v>
      </c>
      <c r="I71" s="28" t="s">
        <v>107</v>
      </c>
      <c r="J71" s="224">
        <f>'Dados Detalhados'!$L$666</f>
        <v>18372</v>
      </c>
      <c r="K71" s="224"/>
      <c r="L71" s="224"/>
      <c r="M71" s="78">
        <f t="shared" si="7"/>
        <v>18372</v>
      </c>
      <c r="N71" s="78">
        <f t="shared" si="1"/>
        <v>18372</v>
      </c>
      <c r="O71" s="78"/>
      <c r="P71" s="78"/>
      <c r="Q71" s="78"/>
      <c r="R71" s="78"/>
      <c r="S71" s="78"/>
      <c r="T71" s="78"/>
    </row>
    <row r="72" spans="1:20" ht="52.5" customHeight="1">
      <c r="A72" s="12">
        <v>65</v>
      </c>
      <c r="B72" s="20" t="s">
        <v>137</v>
      </c>
      <c r="C72" s="20" t="s">
        <v>136</v>
      </c>
      <c r="D72" s="16">
        <v>1</v>
      </c>
      <c r="E72" s="19" t="s">
        <v>390</v>
      </c>
      <c r="F72" s="19">
        <v>3</v>
      </c>
      <c r="G72" s="66" t="s">
        <v>401</v>
      </c>
      <c r="H72" s="7" t="s">
        <v>310</v>
      </c>
      <c r="I72" s="31" t="s">
        <v>107</v>
      </c>
      <c r="J72" s="229">
        <f>'Dados Detalhados'!$L$668</f>
        <v>5701.36</v>
      </c>
      <c r="K72" s="229"/>
      <c r="L72" s="229"/>
      <c r="M72" s="78">
        <f t="shared" si="7"/>
        <v>5701.36</v>
      </c>
      <c r="N72" s="78">
        <f t="shared" ref="N72:N134" si="8">+M72</f>
        <v>5701.36</v>
      </c>
      <c r="O72" s="78"/>
      <c r="P72" s="78"/>
      <c r="Q72" s="78"/>
      <c r="R72" s="78"/>
      <c r="S72" s="78"/>
      <c r="T72" s="78"/>
    </row>
    <row r="73" spans="1:20" ht="52.5" customHeight="1">
      <c r="A73" s="12">
        <v>66</v>
      </c>
      <c r="B73" s="1" t="s">
        <v>135</v>
      </c>
      <c r="C73" s="20" t="s">
        <v>134</v>
      </c>
      <c r="D73" s="16">
        <v>1</v>
      </c>
      <c r="E73" s="19" t="s">
        <v>390</v>
      </c>
      <c r="F73" s="19">
        <v>3</v>
      </c>
      <c r="G73" s="66" t="s">
        <v>401</v>
      </c>
      <c r="H73" s="7"/>
      <c r="I73" s="31" t="s">
        <v>107</v>
      </c>
      <c r="J73" s="229">
        <f>'Dados Detalhados'!$L$671</f>
        <v>7701.97</v>
      </c>
      <c r="K73" s="229"/>
      <c r="L73" s="229"/>
      <c r="M73" s="78">
        <f t="shared" si="7"/>
        <v>7701.97</v>
      </c>
      <c r="N73" s="78">
        <f t="shared" si="8"/>
        <v>7701.97</v>
      </c>
      <c r="O73" s="78"/>
      <c r="P73" s="78"/>
      <c r="Q73" s="78"/>
      <c r="R73" s="78"/>
      <c r="S73" s="78"/>
      <c r="T73" s="78"/>
    </row>
    <row r="74" spans="1:20" ht="52.5" customHeight="1">
      <c r="A74" s="12">
        <v>67</v>
      </c>
      <c r="B74" s="10" t="s">
        <v>132</v>
      </c>
      <c r="C74" s="14" t="s">
        <v>131</v>
      </c>
      <c r="D74" s="16">
        <v>1</v>
      </c>
      <c r="E74" s="8" t="s">
        <v>390</v>
      </c>
      <c r="F74" s="19">
        <v>3</v>
      </c>
      <c r="G74" s="66" t="s">
        <v>401</v>
      </c>
      <c r="H74" s="9" t="s">
        <v>309</v>
      </c>
      <c r="I74" s="28" t="s">
        <v>107</v>
      </c>
      <c r="J74" s="224">
        <f>'Dados Detalhados'!$L$673</f>
        <v>7592.33</v>
      </c>
      <c r="K74" s="224"/>
      <c r="L74" s="224"/>
      <c r="M74" s="78">
        <f t="shared" si="7"/>
        <v>7592.33</v>
      </c>
      <c r="N74" s="78">
        <f t="shared" si="8"/>
        <v>7592.33</v>
      </c>
      <c r="O74" s="78"/>
      <c r="P74" s="78"/>
      <c r="Q74" s="78"/>
      <c r="R74" s="78"/>
      <c r="S74" s="78"/>
      <c r="T74" s="78"/>
    </row>
    <row r="75" spans="1:20" ht="52.5" hidden="1" customHeight="1">
      <c r="A75" s="12">
        <v>68</v>
      </c>
      <c r="B75" s="10" t="s">
        <v>130</v>
      </c>
      <c r="C75" s="14" t="s">
        <v>129</v>
      </c>
      <c r="D75" s="16">
        <v>2</v>
      </c>
      <c r="E75" s="8" t="s">
        <v>390</v>
      </c>
      <c r="F75" s="19">
        <v>3</v>
      </c>
      <c r="G75" s="66" t="s">
        <v>401</v>
      </c>
      <c r="H75" s="29" t="s">
        <v>308</v>
      </c>
      <c r="I75" s="28" t="s">
        <v>107</v>
      </c>
      <c r="J75" s="43">
        <f>'Dados Detalhados'!$L$676</f>
        <v>7622.22</v>
      </c>
      <c r="K75" s="43"/>
      <c r="L75" s="43"/>
      <c r="M75" s="78">
        <f t="shared" si="7"/>
        <v>7622.22</v>
      </c>
      <c r="N75" s="78"/>
      <c r="O75" s="78"/>
      <c r="P75" s="78"/>
      <c r="Q75" s="78"/>
      <c r="R75" s="78"/>
      <c r="S75" s="78"/>
      <c r="T75" s="78">
        <f t="shared" si="3"/>
        <v>7622.22</v>
      </c>
    </row>
    <row r="76" spans="1:20" ht="52.5" hidden="1" customHeight="1">
      <c r="A76" s="12">
        <v>69</v>
      </c>
      <c r="B76" s="10" t="s">
        <v>127</v>
      </c>
      <c r="C76" s="14" t="s">
        <v>126</v>
      </c>
      <c r="D76" s="16">
        <v>2</v>
      </c>
      <c r="E76" s="8" t="s">
        <v>390</v>
      </c>
      <c r="F76" s="19">
        <v>3</v>
      </c>
      <c r="G76" s="66" t="s">
        <v>401</v>
      </c>
      <c r="H76" s="29" t="s">
        <v>308</v>
      </c>
      <c r="I76" s="28" t="s">
        <v>107</v>
      </c>
      <c r="J76" s="43">
        <f>'Dados Detalhados'!$L$692</f>
        <v>7622.22</v>
      </c>
      <c r="K76" s="43"/>
      <c r="L76" s="43"/>
      <c r="M76" s="78">
        <f t="shared" si="7"/>
        <v>7622.22</v>
      </c>
      <c r="N76" s="78"/>
      <c r="O76" s="78"/>
      <c r="P76" s="78"/>
      <c r="Q76" s="78"/>
      <c r="R76" s="78"/>
      <c r="S76" s="78"/>
      <c r="T76" s="78">
        <f t="shared" ref="T76:T139" si="9">+M76</f>
        <v>7622.22</v>
      </c>
    </row>
    <row r="77" spans="1:20" ht="61.5" customHeight="1">
      <c r="A77" s="12">
        <v>70</v>
      </c>
      <c r="B77" s="10" t="s">
        <v>124</v>
      </c>
      <c r="C77" s="14" t="s">
        <v>125</v>
      </c>
      <c r="D77" s="16">
        <v>1</v>
      </c>
      <c r="E77" s="8" t="s">
        <v>390</v>
      </c>
      <c r="F77" s="19">
        <v>3</v>
      </c>
      <c r="G77" s="66" t="s">
        <v>401</v>
      </c>
      <c r="H77" s="5" t="s">
        <v>307</v>
      </c>
      <c r="I77" s="28" t="s">
        <v>107</v>
      </c>
      <c r="J77" s="43">
        <v>0</v>
      </c>
      <c r="K77" s="43"/>
      <c r="L77" s="43"/>
      <c r="M77" s="78">
        <f t="shared" si="7"/>
        <v>0</v>
      </c>
      <c r="N77" s="78">
        <f t="shared" si="8"/>
        <v>0</v>
      </c>
      <c r="O77" s="78"/>
      <c r="P77" s="78"/>
      <c r="Q77" s="78"/>
      <c r="R77" s="78"/>
      <c r="S77" s="78"/>
      <c r="T77" s="78"/>
    </row>
    <row r="78" spans="1:20" ht="52.5" hidden="1" customHeight="1">
      <c r="A78" s="12">
        <v>71</v>
      </c>
      <c r="B78" s="10" t="s">
        <v>123</v>
      </c>
      <c r="C78" s="14" t="s">
        <v>122</v>
      </c>
      <c r="D78" s="16">
        <v>2</v>
      </c>
      <c r="E78" s="8" t="s">
        <v>390</v>
      </c>
      <c r="F78" s="19">
        <v>3</v>
      </c>
      <c r="G78" s="66" t="s">
        <v>401</v>
      </c>
      <c r="H78" s="5" t="s">
        <v>307</v>
      </c>
      <c r="I78" s="28" t="s">
        <v>107</v>
      </c>
      <c r="J78" s="48">
        <f>'Dados Detalhados'!$L$724</f>
        <v>2708.33</v>
      </c>
      <c r="K78" s="48"/>
      <c r="L78" s="48"/>
      <c r="M78" s="78">
        <f t="shared" si="7"/>
        <v>2708.33</v>
      </c>
      <c r="N78" s="78"/>
      <c r="O78" s="78"/>
      <c r="P78" s="78"/>
      <c r="Q78" s="78"/>
      <c r="R78" s="78">
        <f>SUM(J78:L78)</f>
        <v>2708.33</v>
      </c>
      <c r="S78" s="78"/>
      <c r="T78" s="78"/>
    </row>
    <row r="79" spans="1:20" ht="52.5" customHeight="1">
      <c r="A79" s="12">
        <v>72</v>
      </c>
      <c r="B79" s="10" t="s">
        <v>121</v>
      </c>
      <c r="C79" s="14" t="s">
        <v>392</v>
      </c>
      <c r="D79" s="16">
        <v>1</v>
      </c>
      <c r="E79" s="8" t="s">
        <v>390</v>
      </c>
      <c r="F79" s="19">
        <v>3</v>
      </c>
      <c r="G79" s="66" t="s">
        <v>401</v>
      </c>
      <c r="H79" s="5" t="s">
        <v>306</v>
      </c>
      <c r="I79" s="28" t="s">
        <v>107</v>
      </c>
      <c r="J79" s="42">
        <f>'Dados Detalhados'!$L$727</f>
        <v>7140</v>
      </c>
      <c r="K79" s="42"/>
      <c r="L79" s="42"/>
      <c r="M79" s="78">
        <f t="shared" si="7"/>
        <v>7140</v>
      </c>
      <c r="N79" s="78"/>
      <c r="O79" s="78"/>
      <c r="P79" s="78"/>
      <c r="Q79" s="78"/>
      <c r="R79" s="78"/>
      <c r="S79" s="78"/>
      <c r="T79" s="78">
        <f t="shared" si="9"/>
        <v>7140</v>
      </c>
    </row>
    <row r="80" spans="1:20" ht="52.5" hidden="1" customHeight="1">
      <c r="A80" s="12">
        <v>73</v>
      </c>
      <c r="B80" s="10" t="s">
        <v>120</v>
      </c>
      <c r="C80" s="14" t="s">
        <v>119</v>
      </c>
      <c r="D80" s="16">
        <v>2</v>
      </c>
      <c r="E80" s="8" t="s">
        <v>390</v>
      </c>
      <c r="F80" s="19">
        <v>3</v>
      </c>
      <c r="G80" s="66" t="s">
        <v>401</v>
      </c>
      <c r="H80" s="5" t="s">
        <v>305</v>
      </c>
      <c r="I80" s="28" t="s">
        <v>107</v>
      </c>
      <c r="J80" s="43">
        <v>0</v>
      </c>
      <c r="K80" s="43"/>
      <c r="L80" s="43"/>
      <c r="M80" s="78">
        <f t="shared" si="7"/>
        <v>0</v>
      </c>
      <c r="N80" s="78"/>
      <c r="O80" s="78"/>
      <c r="P80" s="78"/>
      <c r="Q80" s="78"/>
      <c r="R80" s="78"/>
      <c r="S80" s="78"/>
      <c r="T80" s="78">
        <f t="shared" si="9"/>
        <v>0</v>
      </c>
    </row>
    <row r="81" spans="1:20" ht="52.5" hidden="1" customHeight="1">
      <c r="A81" s="12">
        <v>74</v>
      </c>
      <c r="B81" s="10" t="s">
        <v>118</v>
      </c>
      <c r="C81" s="14" t="s">
        <v>117</v>
      </c>
      <c r="D81" s="16">
        <v>2</v>
      </c>
      <c r="E81" s="8" t="s">
        <v>390</v>
      </c>
      <c r="F81" s="19">
        <v>3</v>
      </c>
      <c r="G81" s="66" t="s">
        <v>401</v>
      </c>
      <c r="H81" s="5" t="s">
        <v>305</v>
      </c>
      <c r="I81" s="28" t="s">
        <v>107</v>
      </c>
      <c r="J81" s="229">
        <f>'Dados Detalhados'!$L$745</f>
        <v>20725.560000000001</v>
      </c>
      <c r="K81" s="43"/>
      <c r="L81" s="43"/>
      <c r="M81" s="78">
        <f t="shared" si="7"/>
        <v>20725.560000000001</v>
      </c>
      <c r="N81" s="78">
        <f t="shared" si="8"/>
        <v>20725.560000000001</v>
      </c>
      <c r="O81" s="78"/>
      <c r="P81" s="78"/>
      <c r="Q81" s="78"/>
      <c r="R81" s="78"/>
      <c r="S81" s="78"/>
      <c r="T81" s="78"/>
    </row>
    <row r="82" spans="1:20" ht="52.5" hidden="1" customHeight="1">
      <c r="A82" s="12">
        <v>75</v>
      </c>
      <c r="B82" s="10" t="s">
        <v>115</v>
      </c>
      <c r="C82" s="14" t="s">
        <v>114</v>
      </c>
      <c r="D82" s="16">
        <v>2</v>
      </c>
      <c r="E82" s="8" t="s">
        <v>390</v>
      </c>
      <c r="F82" s="19">
        <v>3</v>
      </c>
      <c r="G82" s="66" t="s">
        <v>401</v>
      </c>
      <c r="H82" s="5"/>
      <c r="I82" s="28" t="s">
        <v>107</v>
      </c>
      <c r="J82" s="231">
        <v>0</v>
      </c>
      <c r="K82" s="230"/>
      <c r="L82" s="43"/>
      <c r="M82" s="78">
        <f t="shared" si="7"/>
        <v>0</v>
      </c>
      <c r="N82" s="78">
        <f t="shared" si="8"/>
        <v>0</v>
      </c>
      <c r="O82" s="78"/>
      <c r="P82" s="78"/>
      <c r="Q82" s="78"/>
      <c r="R82" s="78"/>
      <c r="S82" s="78"/>
      <c r="T82" s="78"/>
    </row>
    <row r="83" spans="1:20" ht="52.5" customHeight="1">
      <c r="A83" s="12">
        <v>76</v>
      </c>
      <c r="B83" s="10" t="s">
        <v>113</v>
      </c>
      <c r="C83" s="14" t="s">
        <v>112</v>
      </c>
      <c r="D83" s="16">
        <v>1</v>
      </c>
      <c r="E83" s="8" t="s">
        <v>390</v>
      </c>
      <c r="F83" s="19">
        <v>3</v>
      </c>
      <c r="G83" s="66" t="s">
        <v>401</v>
      </c>
      <c r="H83" s="5" t="s">
        <v>305</v>
      </c>
      <c r="I83" s="28" t="s">
        <v>107</v>
      </c>
      <c r="J83" s="224">
        <f>'Dados Detalhados'!$L$777</f>
        <v>3788.65</v>
      </c>
      <c r="K83" s="224"/>
      <c r="L83" s="224"/>
      <c r="M83" s="78">
        <f t="shared" si="7"/>
        <v>3788.65</v>
      </c>
      <c r="N83" s="78">
        <f t="shared" si="8"/>
        <v>3788.65</v>
      </c>
      <c r="O83" s="78"/>
      <c r="P83" s="78"/>
      <c r="Q83" s="78"/>
      <c r="R83" s="78"/>
      <c r="S83" s="78"/>
      <c r="T83" s="78"/>
    </row>
    <row r="84" spans="1:20" ht="52.5" customHeight="1">
      <c r="A84" s="12">
        <v>77</v>
      </c>
      <c r="B84" s="10" t="s">
        <v>111</v>
      </c>
      <c r="C84" s="14" t="s">
        <v>110</v>
      </c>
      <c r="D84" s="16">
        <v>1</v>
      </c>
      <c r="E84" s="8" t="s">
        <v>390</v>
      </c>
      <c r="F84" s="19">
        <v>3</v>
      </c>
      <c r="G84" s="66" t="s">
        <v>401</v>
      </c>
      <c r="H84" s="5"/>
      <c r="I84" s="28" t="s">
        <v>107</v>
      </c>
      <c r="J84" s="224">
        <f>'Dados Detalhados'!$L$791</f>
        <v>3070.2</v>
      </c>
      <c r="K84" s="224"/>
      <c r="L84" s="224"/>
      <c r="M84" s="78">
        <f t="shared" si="7"/>
        <v>3070.2</v>
      </c>
      <c r="N84" s="78">
        <f t="shared" si="8"/>
        <v>3070.2</v>
      </c>
      <c r="O84" s="78"/>
      <c r="P84" s="78"/>
      <c r="Q84" s="78"/>
      <c r="R84" s="78"/>
      <c r="S84" s="78"/>
      <c r="T84" s="78"/>
    </row>
    <row r="85" spans="1:20" ht="52.5" customHeight="1">
      <c r="A85" s="12">
        <v>78</v>
      </c>
      <c r="B85" s="10" t="s">
        <v>109</v>
      </c>
      <c r="C85" s="14" t="s">
        <v>108</v>
      </c>
      <c r="D85" s="16">
        <v>1</v>
      </c>
      <c r="E85" s="8" t="s">
        <v>390</v>
      </c>
      <c r="F85" s="19">
        <v>3</v>
      </c>
      <c r="G85" s="66" t="s">
        <v>401</v>
      </c>
      <c r="H85" s="5"/>
      <c r="I85" s="28" t="s">
        <v>107</v>
      </c>
      <c r="J85" s="224">
        <f>'Dados Detalhados'!$L$793</f>
        <v>5000</v>
      </c>
      <c r="K85" s="43"/>
      <c r="L85" s="43"/>
      <c r="M85" s="78">
        <f t="shared" si="7"/>
        <v>5000</v>
      </c>
      <c r="N85" s="78">
        <f t="shared" si="8"/>
        <v>5000</v>
      </c>
      <c r="O85" s="78"/>
      <c r="P85" s="78"/>
      <c r="Q85" s="78"/>
      <c r="R85" s="78"/>
      <c r="S85" s="78"/>
      <c r="T85" s="78"/>
    </row>
    <row r="86" spans="1:20" ht="52.5" customHeight="1">
      <c r="A86" s="12">
        <v>79</v>
      </c>
      <c r="B86" s="10" t="s">
        <v>106</v>
      </c>
      <c r="C86" s="14" t="s">
        <v>105</v>
      </c>
      <c r="D86" s="16">
        <v>1</v>
      </c>
      <c r="E86" s="8" t="s">
        <v>390</v>
      </c>
      <c r="F86" s="19">
        <v>3</v>
      </c>
      <c r="G86" s="66" t="s">
        <v>402</v>
      </c>
      <c r="H86" s="5" t="s">
        <v>304</v>
      </c>
      <c r="I86" s="28" t="s">
        <v>77</v>
      </c>
      <c r="J86" s="43">
        <v>0</v>
      </c>
      <c r="K86" s="43"/>
      <c r="L86" s="43"/>
      <c r="M86" s="78">
        <f t="shared" si="7"/>
        <v>0</v>
      </c>
      <c r="N86" s="78">
        <f t="shared" si="8"/>
        <v>0</v>
      </c>
      <c r="O86" s="78"/>
      <c r="P86" s="78"/>
      <c r="Q86" s="78"/>
      <c r="R86" s="78"/>
      <c r="S86" s="78"/>
      <c r="T86" s="78"/>
    </row>
    <row r="87" spans="1:20" ht="52.5" customHeight="1">
      <c r="A87" s="12">
        <v>80</v>
      </c>
      <c r="B87" s="10" t="s">
        <v>101</v>
      </c>
      <c r="C87" s="14" t="s">
        <v>104</v>
      </c>
      <c r="D87" s="16">
        <v>1</v>
      </c>
      <c r="E87" s="8" t="s">
        <v>390</v>
      </c>
      <c r="F87" s="19">
        <v>3</v>
      </c>
      <c r="G87" s="66" t="s">
        <v>402</v>
      </c>
      <c r="H87" s="5" t="s">
        <v>286</v>
      </c>
      <c r="I87" s="28" t="s">
        <v>77</v>
      </c>
      <c r="J87" s="233">
        <f>'Dados Detalhados'!$L$837</f>
        <v>8050</v>
      </c>
      <c r="K87" s="233"/>
      <c r="L87" s="233"/>
      <c r="M87" s="78">
        <f t="shared" si="7"/>
        <v>8050</v>
      </c>
      <c r="N87" s="78"/>
      <c r="O87" s="78"/>
      <c r="P87" s="78"/>
      <c r="Q87" s="78">
        <f t="shared" ref="Q87:Q132" si="10">+M87</f>
        <v>8050</v>
      </c>
      <c r="R87" s="78"/>
      <c r="S87" s="78"/>
      <c r="T87" s="78"/>
    </row>
    <row r="88" spans="1:20" ht="52.5" customHeight="1">
      <c r="A88" s="12">
        <v>81</v>
      </c>
      <c r="B88" s="10" t="s">
        <v>103</v>
      </c>
      <c r="C88" s="14" t="s">
        <v>102</v>
      </c>
      <c r="D88" s="16">
        <v>1</v>
      </c>
      <c r="E88" s="8" t="s">
        <v>390</v>
      </c>
      <c r="F88" s="19">
        <v>3</v>
      </c>
      <c r="G88" s="66" t="s">
        <v>402</v>
      </c>
      <c r="H88" s="5"/>
      <c r="I88" s="28" t="s">
        <v>77</v>
      </c>
      <c r="J88" s="233">
        <f>'Dados Detalhados'!$L$843</f>
        <v>1280</v>
      </c>
      <c r="K88" s="233"/>
      <c r="L88" s="233"/>
      <c r="M88" s="78">
        <f t="shared" si="7"/>
        <v>1280</v>
      </c>
      <c r="N88" s="78"/>
      <c r="O88" s="78"/>
      <c r="P88" s="78"/>
      <c r="Q88" s="78">
        <f t="shared" si="10"/>
        <v>1280</v>
      </c>
      <c r="R88" s="78"/>
      <c r="S88" s="78"/>
      <c r="T88" s="78"/>
    </row>
    <row r="89" spans="1:20" ht="52.5" customHeight="1">
      <c r="A89" s="12">
        <v>82</v>
      </c>
      <c r="B89" s="10" t="s">
        <v>100</v>
      </c>
      <c r="C89" s="14" t="s">
        <v>99</v>
      </c>
      <c r="D89" s="16">
        <v>1</v>
      </c>
      <c r="E89" s="8" t="s">
        <v>390</v>
      </c>
      <c r="F89" s="19">
        <v>3</v>
      </c>
      <c r="G89" s="66" t="s">
        <v>402</v>
      </c>
      <c r="H89" s="5"/>
      <c r="I89" s="28" t="s">
        <v>77</v>
      </c>
      <c r="J89" s="233">
        <f>'Dados Detalhados'!$L$849</f>
        <v>132</v>
      </c>
      <c r="K89" s="233"/>
      <c r="L89" s="233"/>
      <c r="M89" s="78">
        <f t="shared" si="7"/>
        <v>132</v>
      </c>
      <c r="N89" s="78"/>
      <c r="O89" s="78"/>
      <c r="P89" s="78"/>
      <c r="Q89" s="78">
        <f t="shared" si="10"/>
        <v>132</v>
      </c>
      <c r="R89" s="78"/>
      <c r="S89" s="78"/>
      <c r="T89" s="78"/>
    </row>
    <row r="90" spans="1:20" ht="52.5" customHeight="1">
      <c r="A90" s="12">
        <v>83</v>
      </c>
      <c r="B90" s="18" t="s">
        <v>98</v>
      </c>
      <c r="C90" s="18" t="s">
        <v>97</v>
      </c>
      <c r="D90" s="16">
        <v>1</v>
      </c>
      <c r="E90" s="8" t="s">
        <v>390</v>
      </c>
      <c r="F90" s="19">
        <v>3</v>
      </c>
      <c r="G90" s="66" t="s">
        <v>402</v>
      </c>
      <c r="H90" s="17" t="s">
        <v>303</v>
      </c>
      <c r="I90" s="28" t="s">
        <v>77</v>
      </c>
      <c r="J90" s="224">
        <f>'Dados Detalhados'!$L$855</f>
        <v>1783.86</v>
      </c>
      <c r="K90" s="224"/>
      <c r="L90" s="224"/>
      <c r="M90" s="78">
        <f t="shared" si="7"/>
        <v>1783.86</v>
      </c>
      <c r="N90" s="78">
        <f t="shared" si="8"/>
        <v>1783.86</v>
      </c>
      <c r="O90" s="78"/>
      <c r="P90" s="78"/>
      <c r="Q90" s="78"/>
      <c r="R90" s="78"/>
      <c r="S90" s="78"/>
      <c r="T90" s="78"/>
    </row>
    <row r="91" spans="1:20" ht="52.5" hidden="1" customHeight="1">
      <c r="A91" s="12">
        <v>84</v>
      </c>
      <c r="B91" s="10" t="s">
        <v>96</v>
      </c>
      <c r="C91" s="14" t="s">
        <v>95</v>
      </c>
      <c r="D91" s="16">
        <v>2</v>
      </c>
      <c r="E91" s="8" t="s">
        <v>389</v>
      </c>
      <c r="F91" s="19">
        <v>2</v>
      </c>
      <c r="G91" s="66" t="s">
        <v>400</v>
      </c>
      <c r="H91" s="5" t="s">
        <v>302</v>
      </c>
      <c r="I91" s="28" t="s">
        <v>77</v>
      </c>
      <c r="J91" s="43">
        <f>'Dados Detalhados'!$L$874</f>
        <v>3182.41</v>
      </c>
      <c r="K91" s="43"/>
      <c r="L91" s="43"/>
      <c r="M91" s="78">
        <f t="shared" si="7"/>
        <v>3182.41</v>
      </c>
      <c r="N91" s="78"/>
      <c r="O91" s="78"/>
      <c r="P91" s="78"/>
      <c r="Q91" s="78"/>
      <c r="R91" s="78"/>
      <c r="S91" s="78"/>
      <c r="T91" s="78">
        <f t="shared" si="9"/>
        <v>3182.41</v>
      </c>
    </row>
    <row r="92" spans="1:20" ht="52.5" customHeight="1">
      <c r="A92" s="12">
        <v>85</v>
      </c>
      <c r="B92" s="10" t="s">
        <v>94</v>
      </c>
      <c r="C92" s="14" t="s">
        <v>93</v>
      </c>
      <c r="D92" s="16">
        <v>1</v>
      </c>
      <c r="E92" s="8" t="s">
        <v>389</v>
      </c>
      <c r="F92" s="19">
        <v>2</v>
      </c>
      <c r="G92" s="66" t="s">
        <v>400</v>
      </c>
      <c r="H92" s="5" t="s">
        <v>301</v>
      </c>
      <c r="I92" s="28" t="s">
        <v>77</v>
      </c>
      <c r="J92" s="42">
        <f>'Dados Detalhados'!$L$874</f>
        <v>3182.41</v>
      </c>
      <c r="K92" s="42"/>
      <c r="L92" s="42"/>
      <c r="M92" s="78">
        <f t="shared" si="7"/>
        <v>3182.41</v>
      </c>
      <c r="N92" s="78">
        <f t="shared" si="8"/>
        <v>3182.41</v>
      </c>
      <c r="O92" s="78"/>
      <c r="P92" s="78"/>
      <c r="Q92" s="78"/>
      <c r="R92" s="78"/>
      <c r="S92" s="78"/>
      <c r="T92" s="78"/>
    </row>
    <row r="93" spans="1:20" ht="52.5" customHeight="1">
      <c r="A93" s="12">
        <v>86</v>
      </c>
      <c r="B93" s="10" t="s">
        <v>92</v>
      </c>
      <c r="C93" s="14" t="s">
        <v>91</v>
      </c>
      <c r="D93" s="16">
        <v>1</v>
      </c>
      <c r="E93" s="8" t="s">
        <v>390</v>
      </c>
      <c r="F93" s="19">
        <v>3</v>
      </c>
      <c r="G93" s="66" t="s">
        <v>402</v>
      </c>
      <c r="H93" s="5" t="s">
        <v>300</v>
      </c>
      <c r="I93" s="28" t="s">
        <v>77</v>
      </c>
      <c r="J93" s="224">
        <f>'Dados Detalhados'!$L$886</f>
        <v>3070.2</v>
      </c>
      <c r="K93" s="224"/>
      <c r="L93" s="224"/>
      <c r="M93" s="78">
        <f t="shared" si="7"/>
        <v>3070.2</v>
      </c>
      <c r="N93" s="78">
        <f t="shared" si="8"/>
        <v>3070.2</v>
      </c>
      <c r="O93" s="78"/>
      <c r="P93" s="78"/>
      <c r="Q93" s="78"/>
      <c r="R93" s="78"/>
      <c r="S93" s="78"/>
      <c r="T93" s="78"/>
    </row>
    <row r="94" spans="1:20" ht="61.5" hidden="1" customHeight="1">
      <c r="A94" s="12">
        <v>87</v>
      </c>
      <c r="B94" s="10" t="s">
        <v>90</v>
      </c>
      <c r="C94" s="14" t="s">
        <v>89</v>
      </c>
      <c r="D94" s="16">
        <v>3</v>
      </c>
      <c r="E94" s="8" t="s">
        <v>390</v>
      </c>
      <c r="F94" s="19">
        <v>3</v>
      </c>
      <c r="G94" s="66" t="s">
        <v>404</v>
      </c>
      <c r="H94" s="5"/>
      <c r="I94" s="28" t="s">
        <v>77</v>
      </c>
      <c r="J94" s="224">
        <f>'Dados Detalhados'!$L$889</f>
        <v>11856.72</v>
      </c>
      <c r="K94" s="43"/>
      <c r="L94" s="43"/>
      <c r="M94" s="78">
        <f t="shared" si="7"/>
        <v>11856.72</v>
      </c>
      <c r="N94" s="78">
        <f t="shared" si="8"/>
        <v>11856.72</v>
      </c>
      <c r="O94" s="78"/>
      <c r="P94" s="78"/>
      <c r="Q94" s="78"/>
      <c r="R94" s="78"/>
      <c r="S94" s="78"/>
      <c r="T94" s="78"/>
    </row>
    <row r="95" spans="1:20" ht="52.5" hidden="1" customHeight="1">
      <c r="A95" s="12">
        <v>88</v>
      </c>
      <c r="B95" s="10" t="s">
        <v>87</v>
      </c>
      <c r="C95" s="14" t="s">
        <v>86</v>
      </c>
      <c r="D95" s="16">
        <v>3</v>
      </c>
      <c r="E95" s="8" t="s">
        <v>390</v>
      </c>
      <c r="F95" s="19">
        <v>3</v>
      </c>
      <c r="G95" s="66" t="s">
        <v>404</v>
      </c>
      <c r="H95" s="5"/>
      <c r="I95" s="28" t="s">
        <v>77</v>
      </c>
      <c r="J95" s="43"/>
      <c r="K95" s="43"/>
      <c r="L95" s="43"/>
      <c r="M95" s="78">
        <f t="shared" si="7"/>
        <v>0</v>
      </c>
      <c r="N95" s="78"/>
      <c r="O95" s="78"/>
      <c r="P95" s="78"/>
      <c r="Q95" s="78"/>
      <c r="R95" s="78"/>
      <c r="S95" s="78"/>
      <c r="T95" s="78">
        <f t="shared" si="9"/>
        <v>0</v>
      </c>
    </row>
    <row r="96" spans="1:20" ht="52.5" hidden="1" customHeight="1">
      <c r="A96" s="12">
        <v>89</v>
      </c>
      <c r="B96" s="10" t="s">
        <v>85</v>
      </c>
      <c r="C96" s="14" t="s">
        <v>84</v>
      </c>
      <c r="D96" s="16">
        <v>2</v>
      </c>
      <c r="E96" s="8" t="s">
        <v>390</v>
      </c>
      <c r="F96" s="19">
        <v>3</v>
      </c>
      <c r="G96" s="66" t="s">
        <v>402</v>
      </c>
      <c r="H96" s="5"/>
      <c r="I96" s="28" t="s">
        <v>77</v>
      </c>
      <c r="J96" s="47">
        <f>'Dados Detalhados'!$L$925</f>
        <v>3000</v>
      </c>
      <c r="K96" s="47"/>
      <c r="L96" s="47"/>
      <c r="M96" s="78">
        <f t="shared" si="7"/>
        <v>3000</v>
      </c>
      <c r="N96" s="78"/>
      <c r="O96" s="78"/>
      <c r="P96" s="78"/>
      <c r="Q96" s="78"/>
      <c r="R96" s="78"/>
      <c r="S96" s="78"/>
      <c r="T96" s="78">
        <f t="shared" si="9"/>
        <v>3000</v>
      </c>
    </row>
    <row r="97" spans="1:20" ht="62.25" customHeight="1">
      <c r="A97" s="12">
        <v>90</v>
      </c>
      <c r="B97" s="10" t="s">
        <v>83</v>
      </c>
      <c r="C97" s="14" t="s">
        <v>82</v>
      </c>
      <c r="D97" s="16">
        <v>1</v>
      </c>
      <c r="E97" s="8" t="s">
        <v>390</v>
      </c>
      <c r="F97" s="19">
        <v>3</v>
      </c>
      <c r="G97" s="66" t="s">
        <v>402</v>
      </c>
      <c r="H97" s="5"/>
      <c r="I97" s="28" t="s">
        <v>77</v>
      </c>
      <c r="J97" s="47"/>
      <c r="K97" s="47"/>
      <c r="L97" s="43"/>
      <c r="M97" s="78">
        <f t="shared" si="7"/>
        <v>0</v>
      </c>
      <c r="N97" s="78"/>
      <c r="O97" s="78"/>
      <c r="P97" s="78"/>
      <c r="Q97" s="78"/>
      <c r="R97" s="78"/>
      <c r="S97" s="78"/>
      <c r="T97" s="78">
        <f t="shared" si="9"/>
        <v>0</v>
      </c>
    </row>
    <row r="98" spans="1:20" ht="52.5" customHeight="1">
      <c r="A98" s="12">
        <v>91</v>
      </c>
      <c r="B98" s="10" t="s">
        <v>81</v>
      </c>
      <c r="C98" s="14" t="s">
        <v>80</v>
      </c>
      <c r="D98" s="16">
        <v>1</v>
      </c>
      <c r="E98" s="8" t="s">
        <v>390</v>
      </c>
      <c r="F98" s="19">
        <v>3</v>
      </c>
      <c r="G98" s="66" t="s">
        <v>402</v>
      </c>
      <c r="H98" s="5"/>
      <c r="I98" s="28" t="s">
        <v>77</v>
      </c>
      <c r="J98" s="47"/>
      <c r="K98" s="47"/>
      <c r="L98" s="43"/>
      <c r="M98" s="78">
        <f t="shared" si="7"/>
        <v>0</v>
      </c>
      <c r="N98" s="78"/>
      <c r="O98" s="78"/>
      <c r="P98" s="78"/>
      <c r="Q98" s="78"/>
      <c r="R98" s="78"/>
      <c r="S98" s="78"/>
      <c r="T98" s="78">
        <f t="shared" si="9"/>
        <v>0</v>
      </c>
    </row>
    <row r="99" spans="1:20" ht="52.5" customHeight="1">
      <c r="A99" s="12">
        <v>92</v>
      </c>
      <c r="B99" s="10" t="s">
        <v>79</v>
      </c>
      <c r="C99" s="14" t="s">
        <v>78</v>
      </c>
      <c r="D99" s="6">
        <v>1</v>
      </c>
      <c r="E99" s="8" t="s">
        <v>390</v>
      </c>
      <c r="F99" s="19">
        <v>3</v>
      </c>
      <c r="G99" s="66" t="s">
        <v>402</v>
      </c>
      <c r="H99" s="5"/>
      <c r="I99" s="28" t="s">
        <v>77</v>
      </c>
      <c r="J99" s="48">
        <f>'Dados Detalhados'!$L$963</f>
        <v>2500</v>
      </c>
      <c r="K99" s="48"/>
      <c r="L99" s="48"/>
      <c r="M99" s="78">
        <f t="shared" si="7"/>
        <v>2500</v>
      </c>
      <c r="N99" s="78"/>
      <c r="O99" s="78"/>
      <c r="P99" s="78"/>
      <c r="Q99" s="78"/>
      <c r="R99" s="78">
        <f t="shared" ref="R99:R132" si="11">+M99</f>
        <v>2500</v>
      </c>
      <c r="S99" s="78"/>
      <c r="T99" s="78"/>
    </row>
    <row r="100" spans="1:20" ht="52.5" customHeight="1">
      <c r="A100" s="12">
        <v>93</v>
      </c>
      <c r="B100" s="10" t="s">
        <v>76</v>
      </c>
      <c r="C100" s="10" t="s">
        <v>75</v>
      </c>
      <c r="D100" s="15">
        <v>1</v>
      </c>
      <c r="E100" s="8" t="s">
        <v>42</v>
      </c>
      <c r="F100" s="8">
        <v>4</v>
      </c>
      <c r="G100" s="67" t="s">
        <v>406</v>
      </c>
      <c r="H100" s="9" t="s">
        <v>299</v>
      </c>
      <c r="I100" s="28" t="s">
        <v>41</v>
      </c>
      <c r="J100" s="42">
        <f>'Dados Detalhados'!$L$966</f>
        <v>0</v>
      </c>
      <c r="K100" s="42"/>
      <c r="L100" s="42"/>
      <c r="M100" s="78">
        <f t="shared" si="7"/>
        <v>0</v>
      </c>
      <c r="N100" s="78">
        <f t="shared" si="8"/>
        <v>0</v>
      </c>
      <c r="O100" s="78">
        <f t="shared" ref="O100:O132" si="12">+M100</f>
        <v>0</v>
      </c>
      <c r="P100" s="78">
        <f t="shared" ref="P100:P132" si="13">+M100</f>
        <v>0</v>
      </c>
      <c r="Q100" s="78">
        <f t="shared" si="10"/>
        <v>0</v>
      </c>
      <c r="R100" s="78">
        <f t="shared" si="11"/>
        <v>0</v>
      </c>
      <c r="S100" s="78"/>
      <c r="T100" s="78">
        <f t="shared" si="9"/>
        <v>0</v>
      </c>
    </row>
    <row r="101" spans="1:20" ht="52.5" customHeight="1">
      <c r="A101" s="12">
        <v>94</v>
      </c>
      <c r="B101" s="10" t="s">
        <v>74</v>
      </c>
      <c r="C101" s="10" t="s">
        <v>73</v>
      </c>
      <c r="D101" s="15">
        <v>1</v>
      </c>
      <c r="E101" s="8" t="s">
        <v>42</v>
      </c>
      <c r="F101" s="8">
        <v>4</v>
      </c>
      <c r="G101" s="67" t="s">
        <v>406</v>
      </c>
      <c r="H101" s="9" t="s">
        <v>298</v>
      </c>
      <c r="I101" s="28" t="s">
        <v>41</v>
      </c>
      <c r="J101" s="43">
        <v>0</v>
      </c>
      <c r="K101" s="43"/>
      <c r="L101" s="43"/>
      <c r="M101" s="78">
        <f t="shared" si="7"/>
        <v>0</v>
      </c>
      <c r="N101" s="78"/>
      <c r="O101" s="78"/>
      <c r="P101" s="78"/>
      <c r="Q101" s="78"/>
      <c r="R101" s="78"/>
      <c r="S101" s="78"/>
      <c r="T101" s="78">
        <f t="shared" si="9"/>
        <v>0</v>
      </c>
    </row>
    <row r="102" spans="1:20" ht="52.5" customHeight="1">
      <c r="A102" s="12">
        <v>95</v>
      </c>
      <c r="B102" s="10" t="s">
        <v>72</v>
      </c>
      <c r="C102" s="10" t="s">
        <v>71</v>
      </c>
      <c r="D102" s="15">
        <v>1</v>
      </c>
      <c r="E102" s="8" t="s">
        <v>42</v>
      </c>
      <c r="F102" s="8">
        <v>4</v>
      </c>
      <c r="G102" s="67" t="s">
        <v>406</v>
      </c>
      <c r="H102" s="9" t="s">
        <v>297</v>
      </c>
      <c r="I102" s="28" t="s">
        <v>41</v>
      </c>
      <c r="J102" s="42">
        <f>'Dados Detalhados'!$L$996</f>
        <v>0</v>
      </c>
      <c r="K102" s="42"/>
      <c r="L102" s="42"/>
      <c r="M102" s="78">
        <f t="shared" si="7"/>
        <v>0</v>
      </c>
      <c r="N102" s="78">
        <f t="shared" si="8"/>
        <v>0</v>
      </c>
      <c r="O102" s="78">
        <f t="shared" si="12"/>
        <v>0</v>
      </c>
      <c r="P102" s="78">
        <f t="shared" si="13"/>
        <v>0</v>
      </c>
      <c r="Q102" s="78">
        <f t="shared" si="10"/>
        <v>0</v>
      </c>
      <c r="R102" s="78">
        <f t="shared" si="11"/>
        <v>0</v>
      </c>
      <c r="S102" s="78"/>
      <c r="T102" s="78">
        <f t="shared" si="9"/>
        <v>0</v>
      </c>
    </row>
    <row r="103" spans="1:20" ht="52.5" customHeight="1">
      <c r="A103" s="12">
        <v>96</v>
      </c>
      <c r="B103" s="10" t="s">
        <v>70</v>
      </c>
      <c r="C103" s="10" t="s">
        <v>69</v>
      </c>
      <c r="D103" s="15">
        <v>1</v>
      </c>
      <c r="E103" s="8" t="s">
        <v>42</v>
      </c>
      <c r="F103" s="8">
        <v>4</v>
      </c>
      <c r="G103" s="67" t="s">
        <v>406</v>
      </c>
      <c r="H103" s="9" t="s">
        <v>296</v>
      </c>
      <c r="I103" s="28" t="s">
        <v>41</v>
      </c>
      <c r="J103" s="224">
        <f>'Dados Detalhados'!$L$1000</f>
        <v>366.67</v>
      </c>
      <c r="K103" s="224"/>
      <c r="L103" s="224"/>
      <c r="M103" s="78">
        <f t="shared" si="7"/>
        <v>366.67</v>
      </c>
      <c r="N103" s="78">
        <f t="shared" si="8"/>
        <v>366.67</v>
      </c>
      <c r="O103" s="78"/>
      <c r="P103" s="78"/>
      <c r="Q103" s="78"/>
      <c r="R103" s="78"/>
      <c r="S103" s="78"/>
      <c r="T103" s="78"/>
    </row>
    <row r="104" spans="1:20" ht="52.5" customHeight="1">
      <c r="A104" s="12">
        <v>97</v>
      </c>
      <c r="B104" s="10" t="s">
        <v>68</v>
      </c>
      <c r="C104" s="14" t="s">
        <v>67</v>
      </c>
      <c r="D104" s="15">
        <v>1</v>
      </c>
      <c r="E104" s="8" t="s">
        <v>42</v>
      </c>
      <c r="F104" s="8">
        <v>4</v>
      </c>
      <c r="G104" s="67" t="s">
        <v>405</v>
      </c>
      <c r="H104" s="5" t="s">
        <v>295</v>
      </c>
      <c r="I104" s="28" t="s">
        <v>41</v>
      </c>
      <c r="J104" s="48">
        <f>'Dados Detalhados'!$L$1008</f>
        <v>951</v>
      </c>
      <c r="K104" s="48"/>
      <c r="L104" s="48"/>
      <c r="M104" s="78">
        <f t="shared" si="7"/>
        <v>951</v>
      </c>
      <c r="N104" s="78"/>
      <c r="O104" s="78"/>
      <c r="P104" s="78"/>
      <c r="Q104" s="78"/>
      <c r="R104" s="78">
        <f t="shared" si="11"/>
        <v>951</v>
      </c>
      <c r="S104" s="78"/>
      <c r="T104" s="78"/>
    </row>
    <row r="105" spans="1:20" ht="52.5" customHeight="1">
      <c r="A105" s="12">
        <v>98</v>
      </c>
      <c r="B105" s="13" t="s">
        <v>66</v>
      </c>
      <c r="C105" s="13" t="s">
        <v>65</v>
      </c>
      <c r="D105" s="15">
        <v>1</v>
      </c>
      <c r="E105" s="8" t="s">
        <v>42</v>
      </c>
      <c r="F105" s="8">
        <v>4</v>
      </c>
      <c r="G105" s="67" t="s">
        <v>405</v>
      </c>
      <c r="H105" s="7" t="s">
        <v>294</v>
      </c>
      <c r="I105" s="28" t="s">
        <v>41</v>
      </c>
      <c r="J105" s="47">
        <f>'Dados Detalhados'!$L$1011</f>
        <v>1262.48</v>
      </c>
      <c r="K105" s="47"/>
      <c r="L105" s="47"/>
      <c r="M105" s="78">
        <f t="shared" si="7"/>
        <v>1262.48</v>
      </c>
      <c r="N105" s="78"/>
      <c r="O105" s="78"/>
      <c r="P105" s="78"/>
      <c r="Q105" s="78"/>
      <c r="R105" s="78"/>
      <c r="S105" s="78"/>
      <c r="T105" s="78">
        <f t="shared" si="9"/>
        <v>1262.48</v>
      </c>
    </row>
    <row r="106" spans="1:20" ht="52.5" customHeight="1">
      <c r="A106" s="12">
        <v>99</v>
      </c>
      <c r="B106" s="10" t="s">
        <v>64</v>
      </c>
      <c r="C106" s="10" t="s">
        <v>63</v>
      </c>
      <c r="D106" s="15">
        <v>1</v>
      </c>
      <c r="E106" s="8" t="s">
        <v>42</v>
      </c>
      <c r="F106" s="8">
        <v>4</v>
      </c>
      <c r="G106" s="67" t="s">
        <v>406</v>
      </c>
      <c r="H106" s="9"/>
      <c r="I106" s="28" t="s">
        <v>41</v>
      </c>
      <c r="J106" s="42">
        <f>'Dados Detalhados'!$L$1013</f>
        <v>0</v>
      </c>
      <c r="K106" s="42"/>
      <c r="L106" s="42"/>
      <c r="M106" s="78">
        <f t="shared" si="7"/>
        <v>0</v>
      </c>
      <c r="N106" s="78"/>
      <c r="O106" s="78"/>
      <c r="P106" s="78"/>
      <c r="Q106" s="78"/>
      <c r="R106" s="78"/>
      <c r="S106" s="78"/>
      <c r="T106" s="78">
        <f t="shared" si="9"/>
        <v>0</v>
      </c>
    </row>
    <row r="107" spans="1:20" ht="52.5" customHeight="1">
      <c r="A107" s="12">
        <v>100</v>
      </c>
      <c r="B107" s="10" t="s">
        <v>62</v>
      </c>
      <c r="C107" s="10" t="s">
        <v>61</v>
      </c>
      <c r="D107" s="15">
        <v>1</v>
      </c>
      <c r="E107" s="8" t="s">
        <v>42</v>
      </c>
      <c r="F107" s="8">
        <v>4</v>
      </c>
      <c r="G107" s="67" t="s">
        <v>406</v>
      </c>
      <c r="H107" s="9" t="s">
        <v>293</v>
      </c>
      <c r="I107" s="28" t="s">
        <v>41</v>
      </c>
      <c r="J107" s="42">
        <f>'Dados Detalhados'!$L$1016</f>
        <v>0</v>
      </c>
      <c r="K107" s="42"/>
      <c r="L107" s="42"/>
      <c r="M107" s="78">
        <f t="shared" si="7"/>
        <v>0</v>
      </c>
      <c r="N107" s="78"/>
      <c r="O107" s="78"/>
      <c r="P107" s="78"/>
      <c r="Q107" s="78"/>
      <c r="R107" s="78"/>
      <c r="S107" s="78"/>
      <c r="T107" s="78">
        <f t="shared" si="9"/>
        <v>0</v>
      </c>
    </row>
    <row r="108" spans="1:20" ht="52.5" customHeight="1">
      <c r="A108" s="12">
        <v>101</v>
      </c>
      <c r="B108" s="10" t="s">
        <v>60</v>
      </c>
      <c r="C108" s="10" t="s">
        <v>59</v>
      </c>
      <c r="D108" s="15">
        <v>1</v>
      </c>
      <c r="E108" s="8" t="s">
        <v>42</v>
      </c>
      <c r="F108" s="8">
        <v>4</v>
      </c>
      <c r="G108" s="67" t="s">
        <v>405</v>
      </c>
      <c r="H108" s="9" t="s">
        <v>292</v>
      </c>
      <c r="I108" s="28" t="s">
        <v>41</v>
      </c>
      <c r="J108" s="48">
        <f>'Dados Detalhados'!$L$1023</f>
        <v>2621.6928999999996</v>
      </c>
      <c r="K108" s="48"/>
      <c r="L108" s="48"/>
      <c r="M108" s="78">
        <f t="shared" si="7"/>
        <v>2621.6928999999996</v>
      </c>
      <c r="N108" s="78"/>
      <c r="O108" s="78"/>
      <c r="P108" s="78"/>
      <c r="Q108" s="78"/>
      <c r="R108" s="78">
        <f t="shared" si="11"/>
        <v>2621.6928999999996</v>
      </c>
      <c r="S108" s="78"/>
      <c r="T108" s="78"/>
    </row>
    <row r="109" spans="1:20" ht="52.5" customHeight="1">
      <c r="A109" s="12">
        <v>102</v>
      </c>
      <c r="B109" s="14" t="s">
        <v>58</v>
      </c>
      <c r="C109" s="14" t="s">
        <v>57</v>
      </c>
      <c r="D109" s="15">
        <v>1</v>
      </c>
      <c r="E109" s="8" t="s">
        <v>42</v>
      </c>
      <c r="F109" s="8">
        <v>4</v>
      </c>
      <c r="G109" s="67" t="s">
        <v>405</v>
      </c>
      <c r="H109" s="5" t="s">
        <v>291</v>
      </c>
      <c r="I109" s="28" t="s">
        <v>41</v>
      </c>
      <c r="J109" s="42">
        <f>'Dados Detalhados'!$L$1026</f>
        <v>0</v>
      </c>
      <c r="K109" s="42"/>
      <c r="L109" s="42"/>
      <c r="M109" s="78">
        <f t="shared" si="7"/>
        <v>0</v>
      </c>
      <c r="N109" s="78">
        <f t="shared" si="8"/>
        <v>0</v>
      </c>
      <c r="O109" s="78">
        <f t="shared" si="12"/>
        <v>0</v>
      </c>
      <c r="P109" s="78">
        <f t="shared" si="13"/>
        <v>0</v>
      </c>
      <c r="Q109" s="78">
        <f t="shared" si="10"/>
        <v>0</v>
      </c>
      <c r="R109" s="78">
        <f t="shared" si="11"/>
        <v>0</v>
      </c>
      <c r="S109" s="78"/>
      <c r="T109" s="78">
        <f t="shared" si="9"/>
        <v>0</v>
      </c>
    </row>
    <row r="110" spans="1:20" ht="52.5" customHeight="1">
      <c r="A110" s="12">
        <v>103</v>
      </c>
      <c r="B110" s="10" t="s">
        <v>56</v>
      </c>
      <c r="C110" s="14" t="s">
        <v>55</v>
      </c>
      <c r="D110" s="15">
        <v>1</v>
      </c>
      <c r="E110" s="8" t="s">
        <v>42</v>
      </c>
      <c r="F110" s="8">
        <v>4</v>
      </c>
      <c r="G110" s="67" t="s">
        <v>406</v>
      </c>
      <c r="H110" s="5"/>
      <c r="I110" s="28" t="s">
        <v>41</v>
      </c>
      <c r="J110" s="43">
        <v>0</v>
      </c>
      <c r="K110" s="43"/>
      <c r="L110" s="43"/>
      <c r="M110" s="78">
        <f t="shared" si="7"/>
        <v>0</v>
      </c>
      <c r="N110" s="78">
        <f t="shared" si="8"/>
        <v>0</v>
      </c>
      <c r="O110" s="78"/>
      <c r="P110" s="78"/>
      <c r="Q110" s="78"/>
      <c r="R110" s="78"/>
      <c r="S110" s="78"/>
      <c r="T110" s="78"/>
    </row>
    <row r="111" spans="1:20" ht="52.5" customHeight="1">
      <c r="A111" s="12">
        <v>104</v>
      </c>
      <c r="B111" s="10" t="s">
        <v>54</v>
      </c>
      <c r="C111" s="14" t="s">
        <v>53</v>
      </c>
      <c r="D111" s="15">
        <v>1</v>
      </c>
      <c r="E111" s="8" t="s">
        <v>42</v>
      </c>
      <c r="F111" s="8">
        <v>4</v>
      </c>
      <c r="G111" s="67" t="s">
        <v>406</v>
      </c>
      <c r="H111" s="5"/>
      <c r="I111" s="28" t="s">
        <v>41</v>
      </c>
      <c r="J111" s="43"/>
      <c r="K111" s="224"/>
      <c r="L111" s="43"/>
      <c r="M111" s="78">
        <f t="shared" si="7"/>
        <v>0</v>
      </c>
      <c r="N111" s="78">
        <f t="shared" si="8"/>
        <v>0</v>
      </c>
      <c r="O111" s="78"/>
      <c r="P111" s="78"/>
      <c r="Q111" s="78"/>
      <c r="R111" s="78"/>
      <c r="S111" s="78"/>
      <c r="T111" s="78"/>
    </row>
    <row r="112" spans="1:20" ht="52.5" customHeight="1">
      <c r="A112" s="12">
        <v>105</v>
      </c>
      <c r="B112" s="10" t="s">
        <v>52</v>
      </c>
      <c r="C112" s="14" t="s">
        <v>51</v>
      </c>
      <c r="D112" s="15">
        <v>1</v>
      </c>
      <c r="E112" s="8" t="s">
        <v>42</v>
      </c>
      <c r="F112" s="8">
        <v>4</v>
      </c>
      <c r="G112" s="67" t="s">
        <v>405</v>
      </c>
      <c r="H112" s="5"/>
      <c r="I112" s="28" t="s">
        <v>41</v>
      </c>
      <c r="J112" s="42">
        <f>'Dados Detalhados'!$L$1061</f>
        <v>0</v>
      </c>
      <c r="K112" s="42"/>
      <c r="L112" s="42"/>
      <c r="M112" s="78">
        <f t="shared" si="7"/>
        <v>0</v>
      </c>
      <c r="N112" s="78">
        <f t="shared" si="8"/>
        <v>0</v>
      </c>
      <c r="O112" s="78">
        <f t="shared" si="12"/>
        <v>0</v>
      </c>
      <c r="P112" s="78">
        <f t="shared" si="13"/>
        <v>0</v>
      </c>
      <c r="Q112" s="78">
        <f t="shared" si="10"/>
        <v>0</v>
      </c>
      <c r="R112" s="78">
        <f t="shared" si="11"/>
        <v>0</v>
      </c>
      <c r="S112" s="78"/>
      <c r="T112" s="78">
        <f t="shared" si="9"/>
        <v>0</v>
      </c>
    </row>
    <row r="113" spans="1:20" ht="52.5" customHeight="1">
      <c r="A113" s="12">
        <v>106</v>
      </c>
      <c r="B113" s="10" t="s">
        <v>50</v>
      </c>
      <c r="C113" s="14" t="s">
        <v>49</v>
      </c>
      <c r="D113" s="15">
        <v>1</v>
      </c>
      <c r="E113" s="8" t="s">
        <v>42</v>
      </c>
      <c r="F113" s="8">
        <v>4</v>
      </c>
      <c r="G113" s="67" t="s">
        <v>405</v>
      </c>
      <c r="H113" s="5"/>
      <c r="I113" s="28" t="s">
        <v>41</v>
      </c>
      <c r="J113" s="42">
        <f>'Dados Detalhados'!$L$1063</f>
        <v>0</v>
      </c>
      <c r="K113" s="42"/>
      <c r="L113" s="42"/>
      <c r="M113" s="78">
        <f t="shared" si="7"/>
        <v>0</v>
      </c>
      <c r="N113" s="78">
        <f t="shared" si="8"/>
        <v>0</v>
      </c>
      <c r="O113" s="78">
        <f t="shared" si="12"/>
        <v>0</v>
      </c>
      <c r="P113" s="78">
        <f t="shared" si="13"/>
        <v>0</v>
      </c>
      <c r="Q113" s="78">
        <f t="shared" si="10"/>
        <v>0</v>
      </c>
      <c r="R113" s="78">
        <f t="shared" si="11"/>
        <v>0</v>
      </c>
      <c r="S113" s="78"/>
      <c r="T113" s="78">
        <f t="shared" si="9"/>
        <v>0</v>
      </c>
    </row>
    <row r="114" spans="1:20" ht="52.5" customHeight="1">
      <c r="A114" s="12">
        <v>107</v>
      </c>
      <c r="B114" s="10" t="s">
        <v>48</v>
      </c>
      <c r="C114" s="14" t="s">
        <v>47</v>
      </c>
      <c r="D114" s="15">
        <v>1</v>
      </c>
      <c r="E114" s="8" t="s">
        <v>42</v>
      </c>
      <c r="F114" s="8">
        <v>4</v>
      </c>
      <c r="G114" s="67" t="s">
        <v>405</v>
      </c>
      <c r="H114" s="5"/>
      <c r="I114" s="28" t="s">
        <v>41</v>
      </c>
      <c r="J114" s="42">
        <f>'Dados Detalhados'!$L$1065</f>
        <v>0</v>
      </c>
      <c r="K114" s="42"/>
      <c r="L114" s="42"/>
      <c r="M114" s="78">
        <f t="shared" si="7"/>
        <v>0</v>
      </c>
      <c r="N114" s="78">
        <f t="shared" si="8"/>
        <v>0</v>
      </c>
      <c r="O114" s="78">
        <f t="shared" si="12"/>
        <v>0</v>
      </c>
      <c r="P114" s="78">
        <f t="shared" si="13"/>
        <v>0</v>
      </c>
      <c r="Q114" s="78">
        <f t="shared" si="10"/>
        <v>0</v>
      </c>
      <c r="R114" s="78">
        <f t="shared" si="11"/>
        <v>0</v>
      </c>
      <c r="S114" s="78"/>
      <c r="T114" s="78">
        <f t="shared" si="9"/>
        <v>0</v>
      </c>
    </row>
    <row r="115" spans="1:20" ht="52.5" customHeight="1">
      <c r="A115" s="12">
        <v>108</v>
      </c>
      <c r="B115" s="10" t="s">
        <v>46</v>
      </c>
      <c r="C115" s="14" t="s">
        <v>45</v>
      </c>
      <c r="D115" s="15">
        <v>1</v>
      </c>
      <c r="E115" s="8" t="s">
        <v>42</v>
      </c>
      <c r="F115" s="8">
        <v>4</v>
      </c>
      <c r="G115" s="67" t="s">
        <v>406</v>
      </c>
      <c r="H115" s="5"/>
      <c r="I115" s="28" t="s">
        <v>41</v>
      </c>
      <c r="J115" s="42">
        <f>'Dados Detalhados'!$L$1067</f>
        <v>2000</v>
      </c>
      <c r="K115" s="42"/>
      <c r="L115" s="42"/>
      <c r="M115" s="78">
        <f t="shared" si="7"/>
        <v>2000</v>
      </c>
      <c r="N115" s="78"/>
      <c r="O115" s="78"/>
      <c r="P115" s="78"/>
      <c r="Q115" s="78"/>
      <c r="R115" s="78"/>
      <c r="S115" s="78"/>
      <c r="T115" s="78">
        <f t="shared" si="9"/>
        <v>2000</v>
      </c>
    </row>
    <row r="116" spans="1:20" ht="52.5" customHeight="1">
      <c r="A116" s="12">
        <v>109</v>
      </c>
      <c r="B116" s="26" t="s">
        <v>44</v>
      </c>
      <c r="C116" s="14" t="s">
        <v>43</v>
      </c>
      <c r="D116" s="15">
        <v>1</v>
      </c>
      <c r="E116" s="8" t="s">
        <v>42</v>
      </c>
      <c r="F116" s="8">
        <v>4</v>
      </c>
      <c r="G116" s="67" t="s">
        <v>406</v>
      </c>
      <c r="H116" s="5"/>
      <c r="I116" s="28" t="s">
        <v>41</v>
      </c>
      <c r="J116" s="43">
        <v>0</v>
      </c>
      <c r="K116" s="43"/>
      <c r="L116" s="43"/>
      <c r="M116" s="78">
        <f t="shared" si="7"/>
        <v>0</v>
      </c>
      <c r="N116" s="78"/>
      <c r="O116" s="78"/>
      <c r="P116" s="78"/>
      <c r="Q116" s="78"/>
      <c r="R116" s="78">
        <f t="shared" si="11"/>
        <v>0</v>
      </c>
      <c r="S116" s="78"/>
      <c r="T116" s="78"/>
    </row>
    <row r="117" spans="1:20" ht="52.5" customHeight="1">
      <c r="A117" s="12">
        <v>110</v>
      </c>
      <c r="B117" s="10" t="s">
        <v>40</v>
      </c>
      <c r="C117" s="14" t="s">
        <v>39</v>
      </c>
      <c r="D117" s="6">
        <v>1</v>
      </c>
      <c r="E117" s="8" t="s">
        <v>4</v>
      </c>
      <c r="F117" s="8">
        <v>5</v>
      </c>
      <c r="G117" s="66" t="s">
        <v>410</v>
      </c>
      <c r="H117" s="5" t="s">
        <v>290</v>
      </c>
      <c r="I117" s="28" t="s">
        <v>3</v>
      </c>
      <c r="J117" s="43">
        <v>0</v>
      </c>
      <c r="K117" s="224"/>
      <c r="L117" s="43"/>
      <c r="M117" s="78">
        <f t="shared" si="7"/>
        <v>0</v>
      </c>
      <c r="N117" s="78">
        <f t="shared" si="8"/>
        <v>0</v>
      </c>
      <c r="O117" s="78"/>
      <c r="P117" s="78"/>
      <c r="Q117" s="78"/>
      <c r="R117" s="78"/>
      <c r="S117" s="78"/>
      <c r="T117" s="78"/>
    </row>
    <row r="118" spans="1:20" ht="52.5" customHeight="1">
      <c r="A118" s="12">
        <v>111</v>
      </c>
      <c r="B118" s="10" t="s">
        <v>38</v>
      </c>
      <c r="C118" s="14" t="s">
        <v>37</v>
      </c>
      <c r="D118" s="6">
        <v>1</v>
      </c>
      <c r="E118" s="8" t="s">
        <v>4</v>
      </c>
      <c r="F118" s="8">
        <v>5</v>
      </c>
      <c r="G118" s="66" t="s">
        <v>410</v>
      </c>
      <c r="H118" s="5" t="s">
        <v>289</v>
      </c>
      <c r="I118" s="28" t="s">
        <v>3</v>
      </c>
      <c r="J118" s="43">
        <v>0</v>
      </c>
      <c r="K118" s="43"/>
      <c r="L118" s="43"/>
      <c r="M118" s="78">
        <f t="shared" si="7"/>
        <v>0</v>
      </c>
      <c r="N118" s="78">
        <f t="shared" si="8"/>
        <v>0</v>
      </c>
      <c r="O118" s="78"/>
      <c r="P118" s="78"/>
      <c r="Q118" s="78"/>
      <c r="R118" s="78"/>
      <c r="S118" s="78"/>
      <c r="T118" s="78"/>
    </row>
    <row r="119" spans="1:20" ht="52.5" hidden="1" customHeight="1">
      <c r="A119" s="12">
        <v>112</v>
      </c>
      <c r="B119" s="10" t="s">
        <v>36</v>
      </c>
      <c r="C119" s="14" t="s">
        <v>903</v>
      </c>
      <c r="D119" s="6">
        <v>2</v>
      </c>
      <c r="E119" s="8" t="s">
        <v>4</v>
      </c>
      <c r="F119" s="8">
        <v>5</v>
      </c>
      <c r="G119" s="66" t="s">
        <v>410</v>
      </c>
      <c r="H119" s="5" t="s">
        <v>288</v>
      </c>
      <c r="I119" s="28" t="s">
        <v>3</v>
      </c>
      <c r="J119" s="224">
        <f>'Dados Detalhados'!$L$1138</f>
        <v>4411.3900000000003</v>
      </c>
      <c r="K119" s="224"/>
      <c r="L119" s="43"/>
      <c r="M119" s="78">
        <f t="shared" si="7"/>
        <v>4411.3900000000003</v>
      </c>
      <c r="N119" s="78">
        <f t="shared" si="8"/>
        <v>4411.3900000000003</v>
      </c>
      <c r="O119" s="78"/>
      <c r="P119" s="78"/>
      <c r="Q119" s="78"/>
      <c r="R119" s="78"/>
      <c r="S119" s="78"/>
      <c r="T119" s="78"/>
    </row>
    <row r="120" spans="1:20" ht="52.5" customHeight="1">
      <c r="A120" s="12">
        <v>113</v>
      </c>
      <c r="B120" s="10" t="s">
        <v>33</v>
      </c>
      <c r="C120" s="14" t="s">
        <v>32</v>
      </c>
      <c r="D120" s="6">
        <v>1</v>
      </c>
      <c r="E120" s="8" t="s">
        <v>4</v>
      </c>
      <c r="F120" s="8">
        <v>5</v>
      </c>
      <c r="G120" s="66" t="s">
        <v>407</v>
      </c>
      <c r="H120" s="9" t="s">
        <v>288</v>
      </c>
      <c r="I120" s="28" t="s">
        <v>3</v>
      </c>
      <c r="J120" s="226">
        <f>'Dados Detalhados'!$L$1154</f>
        <v>38152</v>
      </c>
      <c r="K120" s="43"/>
      <c r="L120" s="43"/>
      <c r="M120" s="78">
        <f t="shared" si="7"/>
        <v>38152</v>
      </c>
      <c r="N120" s="78">
        <f>+J120/2</f>
        <v>19076</v>
      </c>
      <c r="O120" s="78">
        <f>+J120/2</f>
        <v>19076</v>
      </c>
      <c r="P120" s="78"/>
      <c r="Q120" s="78"/>
      <c r="R120" s="78"/>
      <c r="S120" s="78"/>
      <c r="T120" s="78"/>
    </row>
    <row r="121" spans="1:20" ht="52.5" customHeight="1">
      <c r="A121" s="12">
        <v>114</v>
      </c>
      <c r="B121" s="10" t="s">
        <v>31</v>
      </c>
      <c r="C121" s="14" t="s">
        <v>30</v>
      </c>
      <c r="D121" s="6">
        <v>1</v>
      </c>
      <c r="E121" s="8" t="s">
        <v>4</v>
      </c>
      <c r="F121" s="8">
        <v>5</v>
      </c>
      <c r="G121" s="66" t="s">
        <v>407</v>
      </c>
      <c r="H121" s="5" t="s">
        <v>287</v>
      </c>
      <c r="I121" s="28" t="s">
        <v>3</v>
      </c>
      <c r="J121" s="42">
        <f>'Dados Detalhados'!$L$1162</f>
        <v>563554.69999999995</v>
      </c>
      <c r="K121" s="43"/>
      <c r="L121" s="43"/>
      <c r="M121" s="78">
        <f t="shared" si="7"/>
        <v>563554.69999999995</v>
      </c>
      <c r="N121" s="78"/>
      <c r="O121" s="78">
        <f t="shared" si="12"/>
        <v>563554.69999999995</v>
      </c>
      <c r="P121" s="78"/>
      <c r="Q121" s="78"/>
      <c r="R121" s="78"/>
      <c r="S121" s="78"/>
      <c r="T121" s="78"/>
    </row>
    <row r="122" spans="1:20" ht="52.5" customHeight="1">
      <c r="A122" s="12">
        <v>115</v>
      </c>
      <c r="B122" s="10" t="s">
        <v>29</v>
      </c>
      <c r="C122" s="59" t="s">
        <v>28</v>
      </c>
      <c r="D122" s="58">
        <v>1</v>
      </c>
      <c r="E122" s="57" t="s">
        <v>4</v>
      </c>
      <c r="F122" s="8">
        <v>5</v>
      </c>
      <c r="G122" s="66" t="s">
        <v>407</v>
      </c>
      <c r="H122" s="5" t="s">
        <v>286</v>
      </c>
      <c r="I122" s="28" t="s">
        <v>3</v>
      </c>
      <c r="J122" s="234">
        <f>'Dados Detalhados'!$L$1168</f>
        <v>35499.599999999999</v>
      </c>
      <c r="K122" s="234"/>
      <c r="L122" s="234"/>
      <c r="M122" s="78">
        <f t="shared" si="7"/>
        <v>35499.599999999999</v>
      </c>
      <c r="N122" s="78">
        <f t="shared" si="8"/>
        <v>35499.599999999999</v>
      </c>
      <c r="O122" s="78"/>
      <c r="P122" s="78"/>
      <c r="Q122" s="78"/>
      <c r="R122" s="78"/>
      <c r="S122" s="78"/>
      <c r="T122" s="78"/>
    </row>
    <row r="123" spans="1:20" ht="52.5" customHeight="1">
      <c r="A123" s="12">
        <v>116</v>
      </c>
      <c r="B123" s="11" t="s">
        <v>27</v>
      </c>
      <c r="C123" s="11" t="s">
        <v>26</v>
      </c>
      <c r="D123" s="6">
        <v>1</v>
      </c>
      <c r="E123" s="8" t="s">
        <v>4</v>
      </c>
      <c r="F123" s="8">
        <v>5</v>
      </c>
      <c r="G123" s="66" t="s">
        <v>407</v>
      </c>
      <c r="H123" s="5" t="s">
        <v>286</v>
      </c>
      <c r="I123" s="28" t="s">
        <v>3</v>
      </c>
      <c r="J123" s="235">
        <f>'Dados Detalhados'!$L$1174</f>
        <v>12480</v>
      </c>
      <c r="K123" s="235"/>
      <c r="L123" s="234"/>
      <c r="M123" s="78">
        <f t="shared" si="7"/>
        <v>12480</v>
      </c>
      <c r="N123" s="78">
        <f>+L123</f>
        <v>0</v>
      </c>
      <c r="O123" s="78">
        <f>SUM(J123:K123)</f>
        <v>12480</v>
      </c>
      <c r="P123" s="78"/>
      <c r="Q123" s="78"/>
      <c r="R123" s="78"/>
      <c r="S123" s="78"/>
      <c r="T123" s="78"/>
    </row>
    <row r="124" spans="1:20" ht="52.5" customHeight="1">
      <c r="A124" s="12">
        <v>117</v>
      </c>
      <c r="B124" s="11" t="s">
        <v>25</v>
      </c>
      <c r="C124" s="11" t="s">
        <v>24</v>
      </c>
      <c r="D124" s="6">
        <v>1</v>
      </c>
      <c r="E124" s="8" t="s">
        <v>4</v>
      </c>
      <c r="F124" s="8">
        <v>5</v>
      </c>
      <c r="G124" s="66" t="s">
        <v>407</v>
      </c>
      <c r="H124" s="5" t="s">
        <v>285</v>
      </c>
      <c r="I124" s="28" t="s">
        <v>3</v>
      </c>
      <c r="J124" s="224">
        <f>'Dados Detalhados'!$L$1177</f>
        <v>1003.33</v>
      </c>
      <c r="K124" s="224"/>
      <c r="L124" s="224"/>
      <c r="M124" s="78">
        <f t="shared" si="7"/>
        <v>1003.33</v>
      </c>
      <c r="N124" s="78">
        <f t="shared" si="8"/>
        <v>1003.33</v>
      </c>
      <c r="O124" s="78"/>
      <c r="P124" s="78"/>
      <c r="Q124" s="78"/>
      <c r="R124" s="78"/>
      <c r="S124" s="78"/>
      <c r="T124" s="78"/>
    </row>
    <row r="125" spans="1:20" ht="52.5" hidden="1" customHeight="1">
      <c r="A125" s="12">
        <v>118</v>
      </c>
      <c r="B125" s="1" t="s">
        <v>23</v>
      </c>
      <c r="C125" s="1" t="s">
        <v>22</v>
      </c>
      <c r="D125" s="6">
        <v>2</v>
      </c>
      <c r="E125" s="8" t="s">
        <v>4</v>
      </c>
      <c r="F125" s="8">
        <v>5</v>
      </c>
      <c r="G125" s="66" t="s">
        <v>410</v>
      </c>
      <c r="H125" s="7" t="s">
        <v>284</v>
      </c>
      <c r="I125" s="28" t="s">
        <v>3</v>
      </c>
      <c r="J125" s="42">
        <f>'Dados Detalhados'!$L$1179</f>
        <v>0</v>
      </c>
      <c r="K125" s="42"/>
      <c r="L125" s="42"/>
      <c r="M125" s="78">
        <f t="shared" si="7"/>
        <v>0</v>
      </c>
      <c r="N125" s="78">
        <f t="shared" si="8"/>
        <v>0</v>
      </c>
      <c r="O125" s="78">
        <f t="shared" si="12"/>
        <v>0</v>
      </c>
      <c r="P125" s="78">
        <f t="shared" si="13"/>
        <v>0</v>
      </c>
      <c r="Q125" s="78">
        <f t="shared" si="10"/>
        <v>0</v>
      </c>
      <c r="R125" s="78">
        <f t="shared" si="11"/>
        <v>0</v>
      </c>
      <c r="S125" s="78"/>
      <c r="T125" s="78">
        <f t="shared" si="9"/>
        <v>0</v>
      </c>
    </row>
    <row r="126" spans="1:20" ht="52.5" customHeight="1">
      <c r="A126" s="12">
        <v>119</v>
      </c>
      <c r="B126" s="11" t="s">
        <v>21</v>
      </c>
      <c r="C126" s="11" t="s">
        <v>20</v>
      </c>
      <c r="D126" s="6">
        <v>1</v>
      </c>
      <c r="E126" s="8" t="s">
        <v>4</v>
      </c>
      <c r="F126" s="8">
        <v>5</v>
      </c>
      <c r="G126" s="66" t="s">
        <v>402</v>
      </c>
      <c r="H126" s="5" t="s">
        <v>283</v>
      </c>
      <c r="I126" s="28" t="s">
        <v>3</v>
      </c>
      <c r="J126" s="224">
        <f>'Dados Detalhados'!$L$1185</f>
        <v>19345</v>
      </c>
      <c r="K126" s="224"/>
      <c r="L126" s="224"/>
      <c r="M126" s="78">
        <f t="shared" si="7"/>
        <v>19345</v>
      </c>
      <c r="N126" s="78">
        <f t="shared" si="8"/>
        <v>19345</v>
      </c>
      <c r="O126" s="78"/>
      <c r="P126" s="78"/>
      <c r="Q126" s="78"/>
      <c r="R126" s="78"/>
      <c r="S126" s="78"/>
      <c r="T126" s="78"/>
    </row>
    <row r="127" spans="1:20" ht="52.5" customHeight="1">
      <c r="A127" s="12"/>
      <c r="B127" s="11" t="s">
        <v>854</v>
      </c>
      <c r="C127" s="11" t="s">
        <v>855</v>
      </c>
      <c r="D127" s="6">
        <v>1</v>
      </c>
      <c r="E127" s="8" t="s">
        <v>4</v>
      </c>
      <c r="F127" s="8">
        <v>6</v>
      </c>
      <c r="G127" s="66" t="s">
        <v>402</v>
      </c>
      <c r="H127" s="5"/>
      <c r="I127" s="28"/>
      <c r="J127" s="48">
        <f>'Dados Detalhados'!$L$1188</f>
        <v>238.1</v>
      </c>
      <c r="K127" s="48"/>
      <c r="L127" s="48"/>
      <c r="M127" s="78">
        <f t="shared" si="7"/>
        <v>238.1</v>
      </c>
      <c r="N127" s="78"/>
      <c r="O127" s="78"/>
      <c r="P127" s="78"/>
      <c r="Q127" s="78"/>
      <c r="R127" s="78">
        <f t="shared" si="11"/>
        <v>238.1</v>
      </c>
      <c r="S127" s="78"/>
      <c r="T127" s="78"/>
    </row>
    <row r="128" spans="1:20" ht="52.5" hidden="1" customHeight="1">
      <c r="A128" s="12">
        <v>120</v>
      </c>
      <c r="B128" s="11" t="s">
        <v>19</v>
      </c>
      <c r="C128" s="11" t="s">
        <v>18</v>
      </c>
      <c r="D128" s="6">
        <v>2</v>
      </c>
      <c r="E128" s="8" t="s">
        <v>4</v>
      </c>
      <c r="F128" s="8">
        <v>5</v>
      </c>
      <c r="G128" s="66" t="s">
        <v>402</v>
      </c>
      <c r="H128" s="5" t="s">
        <v>281</v>
      </c>
      <c r="I128" s="28" t="s">
        <v>3</v>
      </c>
      <c r="J128" s="224">
        <f>'Dados Detalhados'!$L$1193</f>
        <v>9523.81</v>
      </c>
      <c r="K128" s="224"/>
      <c r="L128" s="224"/>
      <c r="M128" s="78">
        <f t="shared" si="7"/>
        <v>9523.81</v>
      </c>
      <c r="N128" s="78">
        <f t="shared" si="8"/>
        <v>9523.81</v>
      </c>
      <c r="O128" s="78"/>
      <c r="P128" s="78"/>
      <c r="Q128" s="78"/>
      <c r="R128" s="78"/>
      <c r="S128" s="78"/>
      <c r="T128" s="78"/>
    </row>
    <row r="129" spans="1:20" ht="52.5" customHeight="1">
      <c r="A129" s="12">
        <v>121</v>
      </c>
      <c r="B129" s="11" t="s">
        <v>17</v>
      </c>
      <c r="C129" s="11" t="s">
        <v>16</v>
      </c>
      <c r="D129" s="6">
        <v>1</v>
      </c>
      <c r="E129" s="8" t="s">
        <v>4</v>
      </c>
      <c r="F129" s="8">
        <v>5</v>
      </c>
      <c r="G129" s="66" t="s">
        <v>410</v>
      </c>
      <c r="H129" s="5" t="s">
        <v>280</v>
      </c>
      <c r="I129" s="28" t="s">
        <v>3</v>
      </c>
      <c r="J129" s="224">
        <f>'Dados Detalhados'!$L$1202</f>
        <v>1423.33</v>
      </c>
      <c r="K129" s="224"/>
      <c r="L129" s="224"/>
      <c r="M129" s="78">
        <f t="shared" si="7"/>
        <v>1423.33</v>
      </c>
      <c r="N129" s="78">
        <f t="shared" si="8"/>
        <v>1423.33</v>
      </c>
      <c r="O129" s="78"/>
      <c r="P129" s="78"/>
      <c r="Q129" s="78"/>
      <c r="R129" s="78"/>
      <c r="S129" s="78"/>
      <c r="T129" s="78"/>
    </row>
    <row r="130" spans="1:20" ht="52.5" customHeight="1">
      <c r="A130" s="12">
        <v>122</v>
      </c>
      <c r="B130" s="11" t="s">
        <v>15</v>
      </c>
      <c r="C130" s="11" t="s">
        <v>14</v>
      </c>
      <c r="D130" s="6">
        <v>1</v>
      </c>
      <c r="E130" s="8" t="s">
        <v>4</v>
      </c>
      <c r="F130" s="8">
        <v>5</v>
      </c>
      <c r="G130" s="66" t="s">
        <v>410</v>
      </c>
      <c r="H130" s="5" t="s">
        <v>279</v>
      </c>
      <c r="I130" s="28" t="s">
        <v>3</v>
      </c>
      <c r="J130" s="48">
        <f>'Dados Detalhados'!$L$1205</f>
        <v>747.33</v>
      </c>
      <c r="K130" s="48"/>
      <c r="L130" s="48"/>
      <c r="M130" s="78">
        <f t="shared" si="7"/>
        <v>747.33</v>
      </c>
      <c r="N130" s="78"/>
      <c r="O130" s="78"/>
      <c r="P130" s="78"/>
      <c r="Q130" s="78"/>
      <c r="R130" s="78">
        <f t="shared" si="11"/>
        <v>747.33</v>
      </c>
      <c r="S130" s="78"/>
      <c r="T130" s="78"/>
    </row>
    <row r="131" spans="1:20" ht="52.5" customHeight="1">
      <c r="A131" s="12">
        <v>123</v>
      </c>
      <c r="B131" s="11" t="s">
        <v>13</v>
      </c>
      <c r="C131" s="11" t="s">
        <v>12</v>
      </c>
      <c r="D131" s="6">
        <v>1</v>
      </c>
      <c r="E131" s="8" t="s">
        <v>4</v>
      </c>
      <c r="F131" s="8">
        <v>5</v>
      </c>
      <c r="G131" s="66" t="s">
        <v>407</v>
      </c>
      <c r="H131" s="9"/>
      <c r="I131" s="28" t="s">
        <v>3</v>
      </c>
      <c r="J131" s="42">
        <f>'Dados Detalhados'!$L$1208</f>
        <v>0</v>
      </c>
      <c r="K131" s="42"/>
      <c r="L131" s="42"/>
      <c r="M131" s="78">
        <f t="shared" si="7"/>
        <v>0</v>
      </c>
      <c r="N131" s="78">
        <f t="shared" si="8"/>
        <v>0</v>
      </c>
      <c r="O131" s="78">
        <f t="shared" si="12"/>
        <v>0</v>
      </c>
      <c r="P131" s="78">
        <f t="shared" si="13"/>
        <v>0</v>
      </c>
      <c r="Q131" s="78">
        <f t="shared" si="10"/>
        <v>0</v>
      </c>
      <c r="R131" s="78">
        <f t="shared" si="11"/>
        <v>0</v>
      </c>
      <c r="S131" s="78"/>
      <c r="T131" s="78">
        <f t="shared" si="9"/>
        <v>0</v>
      </c>
    </row>
    <row r="132" spans="1:20" ht="52.5" hidden="1" customHeight="1">
      <c r="A132" s="12">
        <v>124</v>
      </c>
      <c r="B132" s="11" t="s">
        <v>11</v>
      </c>
      <c r="C132" s="11" t="s">
        <v>10</v>
      </c>
      <c r="D132" s="6">
        <v>2</v>
      </c>
      <c r="E132" s="8" t="s">
        <v>4</v>
      </c>
      <c r="F132" s="8">
        <v>5</v>
      </c>
      <c r="G132" s="66" t="s">
        <v>410</v>
      </c>
      <c r="H132" s="9"/>
      <c r="I132" s="28" t="s">
        <v>3</v>
      </c>
      <c r="J132" s="42">
        <f>'Dados Detalhados'!$L$1210</f>
        <v>0</v>
      </c>
      <c r="K132" s="42"/>
      <c r="L132" s="42"/>
      <c r="M132" s="78">
        <f t="shared" si="7"/>
        <v>0</v>
      </c>
      <c r="N132" s="78">
        <f t="shared" si="8"/>
        <v>0</v>
      </c>
      <c r="O132" s="78">
        <f t="shared" si="12"/>
        <v>0</v>
      </c>
      <c r="P132" s="78">
        <f t="shared" si="13"/>
        <v>0</v>
      </c>
      <c r="Q132" s="78">
        <f t="shared" si="10"/>
        <v>0</v>
      </c>
      <c r="R132" s="78">
        <f t="shared" si="11"/>
        <v>0</v>
      </c>
      <c r="S132" s="78"/>
      <c r="T132" s="78">
        <f t="shared" si="9"/>
        <v>0</v>
      </c>
    </row>
    <row r="133" spans="1:20" ht="52.5" customHeight="1">
      <c r="A133" s="12">
        <v>125</v>
      </c>
      <c r="B133" s="11" t="s">
        <v>9</v>
      </c>
      <c r="C133" s="11" t="s">
        <v>8</v>
      </c>
      <c r="D133" s="6">
        <v>1</v>
      </c>
      <c r="E133" s="8" t="s">
        <v>4</v>
      </c>
      <c r="F133" s="8">
        <v>5</v>
      </c>
      <c r="G133" s="66" t="s">
        <v>402</v>
      </c>
      <c r="H133" s="9"/>
      <c r="I133" s="28" t="s">
        <v>3</v>
      </c>
      <c r="J133" s="224">
        <f>'Dados Detalhados'!$L$1215</f>
        <v>30000</v>
      </c>
      <c r="K133" s="42"/>
      <c r="L133" s="42"/>
      <c r="M133" s="78">
        <f t="shared" si="7"/>
        <v>30000</v>
      </c>
      <c r="N133" s="78">
        <f t="shared" si="8"/>
        <v>30000</v>
      </c>
      <c r="O133" s="78"/>
      <c r="P133" s="78"/>
      <c r="Q133" s="78"/>
      <c r="R133" s="78"/>
      <c r="S133" s="78"/>
      <c r="T133" s="78"/>
    </row>
    <row r="134" spans="1:20" ht="61.5" customHeight="1">
      <c r="A134" s="12">
        <v>126</v>
      </c>
      <c r="B134" s="11" t="s">
        <v>7</v>
      </c>
      <c r="C134" s="11" t="s">
        <v>364</v>
      </c>
      <c r="D134" s="6">
        <v>1</v>
      </c>
      <c r="E134" s="8" t="s">
        <v>4</v>
      </c>
      <c r="F134" s="8">
        <v>5</v>
      </c>
      <c r="G134" s="66" t="s">
        <v>402</v>
      </c>
      <c r="H134" s="9"/>
      <c r="I134" s="28" t="s">
        <v>3</v>
      </c>
      <c r="J134" s="224">
        <f>'Dados Detalhados'!$L$1218</f>
        <v>11013.44</v>
      </c>
      <c r="K134" s="43"/>
      <c r="L134" s="43"/>
      <c r="M134" s="78">
        <f t="shared" ref="M134:M159" si="14">+J134+K134+L134</f>
        <v>11013.44</v>
      </c>
      <c r="N134" s="78">
        <f t="shared" si="8"/>
        <v>11013.44</v>
      </c>
      <c r="O134" s="78"/>
      <c r="P134" s="78"/>
      <c r="Q134" s="78"/>
      <c r="R134" s="78"/>
      <c r="S134" s="78"/>
      <c r="T134" s="78"/>
    </row>
    <row r="135" spans="1:20" ht="52.5" customHeight="1">
      <c r="A135" s="12">
        <v>127</v>
      </c>
      <c r="B135" s="11" t="s">
        <v>6</v>
      </c>
      <c r="C135" s="52" t="s">
        <v>386</v>
      </c>
      <c r="D135" s="6">
        <v>1</v>
      </c>
      <c r="E135" s="33" t="s">
        <v>4</v>
      </c>
      <c r="F135" s="8">
        <v>5</v>
      </c>
      <c r="G135" s="66" t="s">
        <v>410</v>
      </c>
      <c r="H135" s="55"/>
      <c r="I135" s="50" t="s">
        <v>3</v>
      </c>
      <c r="J135" s="236">
        <f>'Dados Detalhados'!$L$1234</f>
        <v>152.30000000000001</v>
      </c>
      <c r="K135" s="236"/>
      <c r="L135" s="236"/>
      <c r="M135" s="78">
        <f t="shared" si="14"/>
        <v>152.30000000000001</v>
      </c>
      <c r="N135" s="78"/>
      <c r="O135" s="78"/>
      <c r="P135" s="78"/>
      <c r="Q135" s="78"/>
      <c r="R135" s="78">
        <f t="shared" ref="R135:R151" si="15">+M135</f>
        <v>152.30000000000001</v>
      </c>
      <c r="S135" s="78"/>
      <c r="T135" s="78"/>
    </row>
    <row r="136" spans="1:20" ht="52.5" customHeight="1">
      <c r="A136" s="12">
        <v>128</v>
      </c>
      <c r="B136" s="11" t="s">
        <v>5</v>
      </c>
      <c r="C136" s="52" t="s">
        <v>373</v>
      </c>
      <c r="D136" s="56">
        <v>1</v>
      </c>
      <c r="E136" s="33" t="s">
        <v>4</v>
      </c>
      <c r="F136" s="8">
        <v>5</v>
      </c>
      <c r="G136" s="66" t="s">
        <v>410</v>
      </c>
      <c r="H136" s="55"/>
      <c r="I136" s="50" t="s">
        <v>3</v>
      </c>
      <c r="J136" s="237">
        <f>'Dados Detalhados'!$L$1239</f>
        <v>22152</v>
      </c>
      <c r="K136" s="69"/>
      <c r="L136" s="69"/>
      <c r="M136" s="78">
        <f t="shared" si="14"/>
        <v>22152</v>
      </c>
      <c r="N136" s="78">
        <f t="shared" ref="N136:N157" si="16">+M136</f>
        <v>22152</v>
      </c>
      <c r="O136" s="78"/>
      <c r="P136" s="78"/>
      <c r="Q136" s="78"/>
      <c r="R136" s="78"/>
      <c r="S136" s="78"/>
      <c r="T136" s="78"/>
    </row>
    <row r="137" spans="1:20" ht="52.5" hidden="1" customHeight="1">
      <c r="A137" s="12">
        <v>129</v>
      </c>
      <c r="B137" s="11" t="s">
        <v>341</v>
      </c>
      <c r="C137" s="52" t="s">
        <v>374</v>
      </c>
      <c r="D137" s="56">
        <v>2</v>
      </c>
      <c r="E137" s="33" t="s">
        <v>4</v>
      </c>
      <c r="F137" s="8">
        <v>5</v>
      </c>
      <c r="G137" s="66" t="s">
        <v>407</v>
      </c>
      <c r="H137" s="55"/>
      <c r="I137" s="50" t="s">
        <v>3</v>
      </c>
      <c r="J137" s="69">
        <f>'Dados Detalhados'!$L$1249</f>
        <v>0</v>
      </c>
      <c r="K137" s="69"/>
      <c r="L137" s="69"/>
      <c r="M137" s="78">
        <f t="shared" si="14"/>
        <v>0</v>
      </c>
      <c r="N137" s="78"/>
      <c r="O137" s="78"/>
      <c r="P137" s="78"/>
      <c r="Q137" s="78"/>
      <c r="R137" s="78"/>
      <c r="S137" s="78"/>
      <c r="T137" s="78">
        <f t="shared" si="9"/>
        <v>0</v>
      </c>
    </row>
    <row r="138" spans="1:20" ht="52.5" customHeight="1">
      <c r="A138" s="12">
        <v>130</v>
      </c>
      <c r="B138" s="11" t="s">
        <v>342</v>
      </c>
      <c r="C138" s="52" t="s">
        <v>375</v>
      </c>
      <c r="D138" s="56">
        <v>1</v>
      </c>
      <c r="E138" s="33" t="s">
        <v>4</v>
      </c>
      <c r="F138" s="8">
        <v>5</v>
      </c>
      <c r="G138" s="66" t="s">
        <v>407</v>
      </c>
      <c r="H138" s="55"/>
      <c r="I138" s="50" t="s">
        <v>3</v>
      </c>
      <c r="J138" s="236">
        <f>'Dados Detalhados'!$L$1270</f>
        <v>750</v>
      </c>
      <c r="K138" s="236"/>
      <c r="L138" s="236"/>
      <c r="M138" s="78">
        <f t="shared" si="14"/>
        <v>750</v>
      </c>
      <c r="N138" s="78"/>
      <c r="O138" s="78"/>
      <c r="P138" s="78"/>
      <c r="Q138" s="78"/>
      <c r="R138" s="78">
        <f t="shared" si="15"/>
        <v>750</v>
      </c>
      <c r="S138" s="78"/>
      <c r="T138" s="78"/>
    </row>
    <row r="139" spans="1:20" ht="52.5" customHeight="1">
      <c r="A139" s="12">
        <v>131</v>
      </c>
      <c r="B139" s="11" t="s">
        <v>343</v>
      </c>
      <c r="C139" s="52" t="s">
        <v>376</v>
      </c>
      <c r="D139" s="56">
        <v>1</v>
      </c>
      <c r="E139" s="33" t="s">
        <v>4</v>
      </c>
      <c r="F139" s="8">
        <v>5</v>
      </c>
      <c r="G139" s="66" t="s">
        <v>402</v>
      </c>
      <c r="H139" s="55"/>
      <c r="I139" s="50" t="s">
        <v>3</v>
      </c>
      <c r="J139" s="69">
        <f>'Dados Detalhados'!$L$1276</f>
        <v>0</v>
      </c>
      <c r="K139" s="69"/>
      <c r="L139" s="69"/>
      <c r="M139" s="78">
        <f t="shared" si="14"/>
        <v>0</v>
      </c>
      <c r="N139" s="78">
        <f t="shared" si="16"/>
        <v>0</v>
      </c>
      <c r="O139" s="78">
        <f t="shared" ref="O139:O151" si="17">+M139</f>
        <v>0</v>
      </c>
      <c r="P139" s="78">
        <f t="shared" ref="P139:P159" si="18">+M139</f>
        <v>0</v>
      </c>
      <c r="Q139" s="78">
        <f t="shared" ref="Q139:Q151" si="19">+M139</f>
        <v>0</v>
      </c>
      <c r="R139" s="78">
        <f t="shared" si="15"/>
        <v>0</v>
      </c>
      <c r="S139" s="78"/>
      <c r="T139" s="78">
        <f t="shared" si="9"/>
        <v>0</v>
      </c>
    </row>
    <row r="140" spans="1:20" ht="52.5" customHeight="1">
      <c r="A140" s="12">
        <v>132</v>
      </c>
      <c r="B140" s="11" t="s">
        <v>344</v>
      </c>
      <c r="C140" s="52" t="s">
        <v>385</v>
      </c>
      <c r="D140" s="56">
        <v>1</v>
      </c>
      <c r="E140" s="33" t="s">
        <v>4</v>
      </c>
      <c r="F140" s="8">
        <v>5</v>
      </c>
      <c r="G140" s="66" t="s">
        <v>402</v>
      </c>
      <c r="H140" s="55"/>
      <c r="I140" s="50" t="s">
        <v>3</v>
      </c>
      <c r="J140" s="237">
        <f>'Dados Detalhados'!$L$1282</f>
        <v>6103.6111111111113</v>
      </c>
      <c r="K140" s="237"/>
      <c r="L140" s="237"/>
      <c r="M140" s="78">
        <f t="shared" si="14"/>
        <v>6103.6111111111113</v>
      </c>
      <c r="N140" s="78">
        <f t="shared" si="16"/>
        <v>6103.6111111111113</v>
      </c>
      <c r="O140" s="78"/>
      <c r="P140" s="78"/>
      <c r="Q140" s="78"/>
      <c r="R140" s="78"/>
      <c r="S140" s="78"/>
      <c r="T140" s="78"/>
    </row>
    <row r="141" spans="1:20" ht="52.5" customHeight="1">
      <c r="A141" s="12">
        <v>133</v>
      </c>
      <c r="B141" s="11" t="s">
        <v>345</v>
      </c>
      <c r="C141" s="52" t="s">
        <v>377</v>
      </c>
      <c r="D141" s="56">
        <v>1</v>
      </c>
      <c r="E141" s="33" t="s">
        <v>4</v>
      </c>
      <c r="F141" s="8">
        <v>5</v>
      </c>
      <c r="G141" s="66" t="s">
        <v>402</v>
      </c>
      <c r="H141" s="55"/>
      <c r="I141" s="50" t="s">
        <v>3</v>
      </c>
      <c r="J141" s="69">
        <f>'Dados Detalhados'!$L$1289</f>
        <v>0</v>
      </c>
      <c r="K141" s="69"/>
      <c r="L141" s="69"/>
      <c r="M141" s="78">
        <f t="shared" si="14"/>
        <v>0</v>
      </c>
      <c r="N141" s="78">
        <f t="shared" si="16"/>
        <v>0</v>
      </c>
      <c r="O141" s="78">
        <f t="shared" si="17"/>
        <v>0</v>
      </c>
      <c r="P141" s="78">
        <f t="shared" si="18"/>
        <v>0</v>
      </c>
      <c r="Q141" s="78">
        <f t="shared" si="19"/>
        <v>0</v>
      </c>
      <c r="R141" s="78">
        <f t="shared" si="15"/>
        <v>0</v>
      </c>
      <c r="S141" s="78"/>
      <c r="T141" s="78">
        <f t="shared" ref="T141:T158" si="20">+M141</f>
        <v>0</v>
      </c>
    </row>
    <row r="142" spans="1:20" ht="52.5" customHeight="1">
      <c r="A142" s="12">
        <v>134</v>
      </c>
      <c r="B142" s="11" t="s">
        <v>346</v>
      </c>
      <c r="C142" s="52" t="s">
        <v>378</v>
      </c>
      <c r="D142" s="56">
        <v>1</v>
      </c>
      <c r="E142" s="33" t="s">
        <v>4</v>
      </c>
      <c r="F142" s="8">
        <v>5</v>
      </c>
      <c r="G142" s="66" t="s">
        <v>402</v>
      </c>
      <c r="H142" s="55"/>
      <c r="I142" s="50" t="s">
        <v>3</v>
      </c>
      <c r="J142" s="236">
        <f>'Dados Detalhados'!$L$1295</f>
        <v>266.66666666666669</v>
      </c>
      <c r="K142" s="236"/>
      <c r="L142" s="236"/>
      <c r="M142" s="78">
        <f t="shared" si="14"/>
        <v>266.66666666666669</v>
      </c>
      <c r="N142" s="78"/>
      <c r="O142" s="78"/>
      <c r="P142" s="78"/>
      <c r="Q142" s="78"/>
      <c r="R142" s="78">
        <f t="shared" si="15"/>
        <v>266.66666666666669</v>
      </c>
      <c r="S142" s="78"/>
      <c r="T142" s="78"/>
    </row>
    <row r="143" spans="1:20" s="4" customFormat="1" ht="52.5" customHeight="1">
      <c r="A143" s="12">
        <v>135</v>
      </c>
      <c r="B143" s="11" t="s">
        <v>347</v>
      </c>
      <c r="C143" s="52" t="s">
        <v>379</v>
      </c>
      <c r="D143" s="56">
        <v>1</v>
      </c>
      <c r="E143" s="33" t="s">
        <v>4</v>
      </c>
      <c r="F143" s="8">
        <v>5</v>
      </c>
      <c r="G143" s="66" t="s">
        <v>402</v>
      </c>
      <c r="H143" s="55"/>
      <c r="I143" s="50" t="s">
        <v>3</v>
      </c>
      <c r="J143" s="236">
        <f>'Dados Detalhados'!$L$1307</f>
        <v>4608</v>
      </c>
      <c r="K143" s="236"/>
      <c r="L143" s="236"/>
      <c r="M143" s="78">
        <f t="shared" si="14"/>
        <v>4608</v>
      </c>
      <c r="N143" s="78"/>
      <c r="O143" s="78"/>
      <c r="P143" s="78"/>
      <c r="Q143" s="78"/>
      <c r="R143" s="78">
        <f t="shared" si="15"/>
        <v>4608</v>
      </c>
      <c r="S143" s="78"/>
      <c r="T143" s="78"/>
    </row>
    <row r="144" spans="1:20" s="4" customFormat="1" ht="61.5" customHeight="1">
      <c r="A144" s="12">
        <v>136</v>
      </c>
      <c r="B144" s="11" t="s">
        <v>348</v>
      </c>
      <c r="C144" s="52" t="s">
        <v>384</v>
      </c>
      <c r="D144" s="56">
        <v>1</v>
      </c>
      <c r="E144" s="33" t="s">
        <v>4</v>
      </c>
      <c r="F144" s="8">
        <v>5</v>
      </c>
      <c r="G144" s="66" t="s">
        <v>409</v>
      </c>
      <c r="H144" s="5" t="s">
        <v>282</v>
      </c>
      <c r="I144" s="50" t="s">
        <v>3</v>
      </c>
      <c r="J144" s="237">
        <f>'Dados Detalhados'!$L$1314</f>
        <v>2720.6</v>
      </c>
      <c r="K144" s="237"/>
      <c r="L144" s="237"/>
      <c r="M144" s="78">
        <f t="shared" si="14"/>
        <v>2720.6</v>
      </c>
      <c r="N144" s="78">
        <f t="shared" si="16"/>
        <v>2720.6</v>
      </c>
      <c r="O144" s="78"/>
      <c r="P144" s="78"/>
      <c r="Q144" s="78"/>
      <c r="R144" s="78"/>
      <c r="S144" s="78"/>
      <c r="T144" s="78"/>
    </row>
    <row r="145" spans="1:20" s="4" customFormat="1" ht="52.5" customHeight="1">
      <c r="A145" s="12">
        <v>137</v>
      </c>
      <c r="B145" s="11" t="s">
        <v>349</v>
      </c>
      <c r="C145" s="52" t="s">
        <v>380</v>
      </c>
      <c r="D145" s="56">
        <v>1</v>
      </c>
      <c r="E145" s="33" t="s">
        <v>4</v>
      </c>
      <c r="F145" s="8">
        <v>5</v>
      </c>
      <c r="G145" s="66" t="s">
        <v>402</v>
      </c>
      <c r="H145" s="55"/>
      <c r="I145" s="50" t="s">
        <v>3</v>
      </c>
      <c r="J145" s="237">
        <f>'Dados Detalhados'!$L$1320</f>
        <v>5584.7</v>
      </c>
      <c r="K145" s="237"/>
      <c r="L145" s="237"/>
      <c r="M145" s="78">
        <f t="shared" si="14"/>
        <v>5584.7</v>
      </c>
      <c r="N145" s="78">
        <f t="shared" si="16"/>
        <v>5584.7</v>
      </c>
      <c r="O145" s="78"/>
      <c r="P145" s="78"/>
      <c r="Q145" s="78"/>
      <c r="R145" s="78"/>
      <c r="S145" s="78"/>
      <c r="T145" s="78"/>
    </row>
    <row r="146" spans="1:20" s="4" customFormat="1" ht="52.5" customHeight="1">
      <c r="A146" s="12">
        <v>138</v>
      </c>
      <c r="B146" s="11" t="s">
        <v>350</v>
      </c>
      <c r="C146" s="52" t="s">
        <v>381</v>
      </c>
      <c r="D146" s="56">
        <v>1</v>
      </c>
      <c r="E146" s="33" t="s">
        <v>4</v>
      </c>
      <c r="F146" s="8">
        <v>5</v>
      </c>
      <c r="G146" s="66" t="s">
        <v>410</v>
      </c>
      <c r="H146" s="55"/>
      <c r="I146" s="50" t="s">
        <v>3</v>
      </c>
      <c r="J146" s="69">
        <f>'Dados Detalhados'!$L$1326</f>
        <v>0</v>
      </c>
      <c r="K146" s="69"/>
      <c r="L146" s="69"/>
      <c r="M146" s="78">
        <f t="shared" si="14"/>
        <v>0</v>
      </c>
      <c r="N146" s="78"/>
      <c r="O146" s="78"/>
      <c r="P146" s="78"/>
      <c r="Q146" s="78"/>
      <c r="R146" s="78"/>
      <c r="S146" s="78"/>
      <c r="T146" s="78">
        <f t="shared" si="20"/>
        <v>0</v>
      </c>
    </row>
    <row r="147" spans="1:20" s="4" customFormat="1" ht="52.5" hidden="1" customHeight="1">
      <c r="A147" s="12">
        <v>139</v>
      </c>
      <c r="B147" s="11" t="s">
        <v>351</v>
      </c>
      <c r="C147" s="52" t="s">
        <v>382</v>
      </c>
      <c r="D147" s="56">
        <v>2</v>
      </c>
      <c r="E147" s="33" t="s">
        <v>4</v>
      </c>
      <c r="F147" s="8">
        <v>5</v>
      </c>
      <c r="G147" s="66" t="s">
        <v>410</v>
      </c>
      <c r="H147" s="55"/>
      <c r="I147" s="50" t="s">
        <v>3</v>
      </c>
      <c r="J147" s="69">
        <f>'Dados Detalhados'!$L$1332</f>
        <v>0</v>
      </c>
      <c r="K147" s="69"/>
      <c r="L147" s="69"/>
      <c r="M147" s="78">
        <f t="shared" si="14"/>
        <v>0</v>
      </c>
      <c r="N147" s="78"/>
      <c r="O147" s="78"/>
      <c r="P147" s="78"/>
      <c r="Q147" s="78"/>
      <c r="R147" s="78"/>
      <c r="S147" s="78"/>
      <c r="T147" s="78">
        <f t="shared" si="20"/>
        <v>0</v>
      </c>
    </row>
    <row r="148" spans="1:20" s="4" customFormat="1" ht="52.5" hidden="1" customHeight="1">
      <c r="A148" s="12">
        <v>140</v>
      </c>
      <c r="B148" s="11" t="s">
        <v>352</v>
      </c>
      <c r="C148" s="52" t="s">
        <v>383</v>
      </c>
      <c r="D148" s="56">
        <v>3</v>
      </c>
      <c r="E148" s="33" t="s">
        <v>4</v>
      </c>
      <c r="F148" s="8">
        <v>5</v>
      </c>
      <c r="G148" s="66" t="s">
        <v>410</v>
      </c>
      <c r="H148" s="55"/>
      <c r="I148" s="50" t="s">
        <v>3</v>
      </c>
      <c r="J148" s="236">
        <f>'Dados Detalhados'!$L$1353</f>
        <v>92.833333333333329</v>
      </c>
      <c r="K148" s="236"/>
      <c r="L148" s="236"/>
      <c r="M148" s="78">
        <f t="shared" si="14"/>
        <v>92.833333333333329</v>
      </c>
      <c r="N148" s="78"/>
      <c r="O148" s="78"/>
      <c r="P148" s="78"/>
      <c r="Q148" s="78"/>
      <c r="R148" s="78">
        <f t="shared" si="15"/>
        <v>92.833333333333329</v>
      </c>
      <c r="S148" s="78"/>
      <c r="T148" s="78"/>
    </row>
    <row r="149" spans="1:20" s="4" customFormat="1" ht="52.5" customHeight="1">
      <c r="A149" s="12">
        <v>141</v>
      </c>
      <c r="B149" s="11" t="s">
        <v>353</v>
      </c>
      <c r="C149" s="52" t="s">
        <v>369</v>
      </c>
      <c r="D149" s="56">
        <v>1</v>
      </c>
      <c r="E149" s="33" t="s">
        <v>4</v>
      </c>
      <c r="F149" s="8">
        <v>5</v>
      </c>
      <c r="G149" s="66" t="s">
        <v>410</v>
      </c>
      <c r="H149" s="55"/>
      <c r="I149" s="50"/>
      <c r="J149" s="237">
        <f>'Dados Detalhados'!$L$1361</f>
        <v>6502.7564645041803</v>
      </c>
      <c r="K149" s="69"/>
      <c r="L149" s="69"/>
      <c r="M149" s="78">
        <f t="shared" si="14"/>
        <v>6502.7564645041803</v>
      </c>
      <c r="N149" s="78">
        <f t="shared" si="16"/>
        <v>6502.7564645041803</v>
      </c>
      <c r="O149" s="78"/>
      <c r="P149" s="78"/>
      <c r="Q149" s="78"/>
      <c r="R149" s="78"/>
      <c r="S149" s="78"/>
      <c r="T149" s="78"/>
    </row>
    <row r="150" spans="1:20" s="4" customFormat="1" ht="52.5" customHeight="1">
      <c r="A150" s="12">
        <v>142</v>
      </c>
      <c r="B150" s="11" t="s">
        <v>354</v>
      </c>
      <c r="C150" s="52" t="s">
        <v>372</v>
      </c>
      <c r="D150" s="56">
        <v>1</v>
      </c>
      <c r="E150" s="33" t="s">
        <v>4</v>
      </c>
      <c r="F150" s="8">
        <v>5</v>
      </c>
      <c r="G150" s="66" t="s">
        <v>410</v>
      </c>
      <c r="H150" s="55"/>
      <c r="I150" s="50" t="s">
        <v>3</v>
      </c>
      <c r="J150" s="69">
        <f>'Dados Detalhados'!$L$1389</f>
        <v>0</v>
      </c>
      <c r="K150" s="69"/>
      <c r="L150" s="69"/>
      <c r="M150" s="78">
        <f t="shared" si="14"/>
        <v>0</v>
      </c>
      <c r="N150" s="78"/>
      <c r="O150" s="78"/>
      <c r="P150" s="78">
        <f t="shared" si="18"/>
        <v>0</v>
      </c>
      <c r="Q150" s="78"/>
      <c r="R150" s="78"/>
      <c r="S150" s="78"/>
      <c r="T150" s="78"/>
    </row>
    <row r="151" spans="1:20" s="4" customFormat="1" ht="52.5" customHeight="1">
      <c r="A151" s="12">
        <v>143</v>
      </c>
      <c r="B151" s="11" t="s">
        <v>355</v>
      </c>
      <c r="C151" s="52" t="s">
        <v>371</v>
      </c>
      <c r="D151" s="56">
        <v>1</v>
      </c>
      <c r="E151" s="33" t="s">
        <v>4</v>
      </c>
      <c r="F151" s="8">
        <v>5</v>
      </c>
      <c r="G151" s="66" t="s">
        <v>410</v>
      </c>
      <c r="H151" s="55"/>
      <c r="I151" s="50" t="s">
        <v>3</v>
      </c>
      <c r="J151" s="69">
        <f>'Dados Detalhados'!$L$1395</f>
        <v>0</v>
      </c>
      <c r="K151" s="69"/>
      <c r="L151" s="69"/>
      <c r="M151" s="78">
        <f t="shared" si="14"/>
        <v>0</v>
      </c>
      <c r="N151" s="78">
        <f t="shared" si="16"/>
        <v>0</v>
      </c>
      <c r="O151" s="78">
        <f t="shared" si="17"/>
        <v>0</v>
      </c>
      <c r="P151" s="78">
        <f t="shared" si="18"/>
        <v>0</v>
      </c>
      <c r="Q151" s="78">
        <f t="shared" si="19"/>
        <v>0</v>
      </c>
      <c r="R151" s="78">
        <f t="shared" si="15"/>
        <v>0</v>
      </c>
      <c r="S151" s="78"/>
      <c r="T151" s="78">
        <f t="shared" si="20"/>
        <v>0</v>
      </c>
    </row>
    <row r="152" spans="1:20" s="4" customFormat="1" ht="52.5" customHeight="1">
      <c r="A152" s="12">
        <v>144</v>
      </c>
      <c r="B152" s="11" t="s">
        <v>356</v>
      </c>
      <c r="C152" s="52" t="s">
        <v>370</v>
      </c>
      <c r="D152" s="56">
        <v>1</v>
      </c>
      <c r="E152" s="33" t="s">
        <v>4</v>
      </c>
      <c r="F152" s="8">
        <v>5</v>
      </c>
      <c r="G152" s="66" t="s">
        <v>410</v>
      </c>
      <c r="H152" s="55"/>
      <c r="I152" s="50" t="s">
        <v>3</v>
      </c>
      <c r="J152" s="69">
        <f>'Dados Detalhados'!$L$1401</f>
        <v>0</v>
      </c>
      <c r="K152" s="69"/>
      <c r="L152" s="69"/>
      <c r="M152" s="78">
        <f t="shared" si="14"/>
        <v>0</v>
      </c>
      <c r="N152" s="78"/>
      <c r="O152" s="78"/>
      <c r="P152" s="78"/>
      <c r="Q152" s="78"/>
      <c r="R152" s="78"/>
      <c r="S152" s="78"/>
      <c r="T152" s="78">
        <f t="shared" si="20"/>
        <v>0</v>
      </c>
    </row>
    <row r="153" spans="1:20" s="4" customFormat="1" ht="52.5" customHeight="1">
      <c r="A153" s="12">
        <v>145</v>
      </c>
      <c r="B153" s="11" t="s">
        <v>357</v>
      </c>
      <c r="C153" s="64" t="s">
        <v>394</v>
      </c>
      <c r="D153" s="56">
        <v>1</v>
      </c>
      <c r="E153" s="33" t="s">
        <v>4</v>
      </c>
      <c r="F153" s="8">
        <v>5</v>
      </c>
      <c r="G153" s="66" t="s">
        <v>410</v>
      </c>
      <c r="H153" s="55"/>
      <c r="I153" s="50" t="s">
        <v>368</v>
      </c>
      <c r="J153" s="238">
        <f>'Dados Detalhados'!$L$1407</f>
        <v>9538.8791176069535</v>
      </c>
      <c r="K153" s="69"/>
      <c r="L153" s="69"/>
      <c r="M153" s="78">
        <f t="shared" si="14"/>
        <v>9538.8791176069535</v>
      </c>
      <c r="N153" s="78"/>
      <c r="O153" s="78"/>
      <c r="P153" s="78">
        <f t="shared" si="18"/>
        <v>9538.8791176069535</v>
      </c>
      <c r="Q153" s="78"/>
      <c r="R153" s="78"/>
      <c r="S153" s="78"/>
      <c r="T153" s="78"/>
    </row>
    <row r="154" spans="1:20" s="4" customFormat="1" ht="52.5" customHeight="1">
      <c r="A154" s="12">
        <v>146</v>
      </c>
      <c r="B154" s="11" t="s">
        <v>358</v>
      </c>
      <c r="C154" s="1" t="s">
        <v>367</v>
      </c>
      <c r="D154" s="56">
        <v>1</v>
      </c>
      <c r="E154" s="33" t="s">
        <v>4</v>
      </c>
      <c r="F154" s="8">
        <v>5</v>
      </c>
      <c r="G154" s="66" t="s">
        <v>408</v>
      </c>
      <c r="H154" s="55"/>
      <c r="I154" s="50" t="s">
        <v>3</v>
      </c>
      <c r="J154" s="237">
        <f>'Dados Detalhados'!$L$1440</f>
        <v>24512.5</v>
      </c>
      <c r="K154" s="237"/>
      <c r="L154" s="237"/>
      <c r="M154" s="78">
        <f t="shared" si="14"/>
        <v>24512.5</v>
      </c>
      <c r="N154" s="78">
        <f t="shared" si="16"/>
        <v>24512.5</v>
      </c>
      <c r="O154" s="78"/>
      <c r="P154" s="78"/>
      <c r="Q154" s="78"/>
      <c r="R154" s="78"/>
      <c r="S154" s="78"/>
      <c r="T154" s="78"/>
    </row>
    <row r="155" spans="1:20" s="4" customFormat="1" ht="52.5" customHeight="1">
      <c r="A155" s="12">
        <v>147</v>
      </c>
      <c r="B155" s="11" t="s">
        <v>359</v>
      </c>
      <c r="C155" s="1" t="s">
        <v>366</v>
      </c>
      <c r="D155" s="56">
        <v>1</v>
      </c>
      <c r="E155" s="33" t="s">
        <v>4</v>
      </c>
      <c r="F155" s="8">
        <v>5</v>
      </c>
      <c r="G155" s="66" t="s">
        <v>408</v>
      </c>
      <c r="H155" s="55"/>
      <c r="I155" s="50" t="s">
        <v>3</v>
      </c>
      <c r="J155" s="237">
        <f>'Dados Detalhados'!$L$1466</f>
        <v>33095.055555555555</v>
      </c>
      <c r="K155" s="237"/>
      <c r="L155" s="69"/>
      <c r="M155" s="78">
        <f t="shared" si="14"/>
        <v>33095.055555555555</v>
      </c>
      <c r="N155" s="78">
        <f t="shared" si="16"/>
        <v>33095.055555555555</v>
      </c>
      <c r="O155" s="78"/>
      <c r="P155" s="78"/>
      <c r="Q155" s="78"/>
      <c r="R155" s="78"/>
      <c r="S155" s="78"/>
      <c r="T155" s="78"/>
    </row>
    <row r="156" spans="1:20" s="4" customFormat="1" ht="52.5" hidden="1" customHeight="1">
      <c r="A156" s="12">
        <v>148</v>
      </c>
      <c r="B156" s="11" t="s">
        <v>360</v>
      </c>
      <c r="C156" s="64" t="s">
        <v>395</v>
      </c>
      <c r="D156" s="56">
        <v>2</v>
      </c>
      <c r="E156" s="33" t="s">
        <v>4</v>
      </c>
      <c r="F156" s="8">
        <v>5</v>
      </c>
      <c r="G156" s="66" t="s">
        <v>408</v>
      </c>
      <c r="H156" s="55"/>
      <c r="I156" s="50" t="s">
        <v>3</v>
      </c>
      <c r="J156" s="69">
        <f>'Dados Detalhados'!$L$1487</f>
        <v>15000</v>
      </c>
      <c r="K156" s="69"/>
      <c r="L156" s="69"/>
      <c r="M156" s="78">
        <f t="shared" si="14"/>
        <v>15000</v>
      </c>
      <c r="N156" s="78"/>
      <c r="O156" s="78"/>
      <c r="P156" s="78"/>
      <c r="Q156" s="78"/>
      <c r="R156" s="78"/>
      <c r="S156" s="78"/>
      <c r="T156" s="78">
        <f t="shared" si="20"/>
        <v>15000</v>
      </c>
    </row>
    <row r="157" spans="1:20" s="4" customFormat="1" ht="52.5" customHeight="1">
      <c r="A157" s="12">
        <v>149</v>
      </c>
      <c r="B157" s="11" t="s">
        <v>361</v>
      </c>
      <c r="C157" s="64" t="s">
        <v>396</v>
      </c>
      <c r="D157" s="56">
        <v>1</v>
      </c>
      <c r="E157" s="33" t="s">
        <v>4</v>
      </c>
      <c r="F157" s="8">
        <v>5</v>
      </c>
      <c r="G157" s="66" t="s">
        <v>409</v>
      </c>
      <c r="H157" s="55"/>
      <c r="I157" s="50" t="s">
        <v>3</v>
      </c>
      <c r="J157" s="69">
        <f>'Dados Detalhados'!$L$1493</f>
        <v>0</v>
      </c>
      <c r="K157" s="69"/>
      <c r="L157" s="69"/>
      <c r="M157" s="78">
        <f t="shared" si="14"/>
        <v>0</v>
      </c>
      <c r="N157" s="78">
        <f t="shared" si="16"/>
        <v>0</v>
      </c>
      <c r="O157" s="78"/>
      <c r="P157" s="78"/>
      <c r="Q157" s="78"/>
      <c r="R157" s="78"/>
      <c r="S157" s="78"/>
      <c r="T157" s="78"/>
    </row>
    <row r="158" spans="1:20" s="4" customFormat="1" ht="52.5" hidden="1" customHeight="1">
      <c r="A158" s="12">
        <v>150</v>
      </c>
      <c r="B158" s="11" t="s">
        <v>362</v>
      </c>
      <c r="C158" s="65" t="s">
        <v>391</v>
      </c>
      <c r="D158" s="56">
        <v>2</v>
      </c>
      <c r="E158" s="33" t="s">
        <v>4</v>
      </c>
      <c r="F158" s="8">
        <v>5</v>
      </c>
      <c r="G158" s="66" t="s">
        <v>410</v>
      </c>
      <c r="H158" s="55"/>
      <c r="I158" s="50" t="s">
        <v>3</v>
      </c>
      <c r="J158" s="69">
        <f>'Dados Detalhados'!$L$1499</f>
        <v>10583.9</v>
      </c>
      <c r="K158" s="69"/>
      <c r="L158" s="69"/>
      <c r="M158" s="78">
        <f t="shared" si="14"/>
        <v>10583.9</v>
      </c>
      <c r="N158" s="78"/>
      <c r="O158" s="78"/>
      <c r="P158" s="78"/>
      <c r="Q158" s="78"/>
      <c r="R158" s="78"/>
      <c r="S158" s="78"/>
      <c r="T158" s="78">
        <f t="shared" si="20"/>
        <v>10583.9</v>
      </c>
    </row>
    <row r="159" spans="1:20" s="4" customFormat="1" ht="52.5" customHeight="1">
      <c r="A159" s="12">
        <v>151</v>
      </c>
      <c r="B159" s="11" t="s">
        <v>363</v>
      </c>
      <c r="C159" s="1" t="s">
        <v>365</v>
      </c>
      <c r="D159" s="56">
        <v>1</v>
      </c>
      <c r="E159" s="33" t="s">
        <v>4</v>
      </c>
      <c r="F159" s="8">
        <v>5</v>
      </c>
      <c r="G159" s="66" t="s">
        <v>410</v>
      </c>
      <c r="H159" s="55"/>
      <c r="I159" s="50" t="s">
        <v>3</v>
      </c>
      <c r="J159" s="69">
        <f>'Dados Detalhados'!$L$1505</f>
        <v>0</v>
      </c>
      <c r="K159" s="238"/>
      <c r="L159" s="69"/>
      <c r="M159" s="78">
        <f t="shared" si="14"/>
        <v>0</v>
      </c>
      <c r="N159" s="78"/>
      <c r="O159" s="78"/>
      <c r="P159" s="78">
        <f t="shared" si="18"/>
        <v>0</v>
      </c>
      <c r="Q159" s="78"/>
      <c r="R159" s="78"/>
      <c r="S159" s="78"/>
      <c r="T159" s="78"/>
    </row>
    <row r="160" spans="1:20" s="4" customFormat="1" hidden="1">
      <c r="A160" s="2"/>
      <c r="B160" s="2"/>
      <c r="D160" s="2"/>
      <c r="E160" s="2"/>
      <c r="F160" s="2"/>
      <c r="G160" s="2"/>
      <c r="H160" s="2"/>
      <c r="I160" s="2"/>
      <c r="J160" s="247">
        <f>SUM(J5:J159)</f>
        <v>1551677.4954232394</v>
      </c>
      <c r="K160" s="247">
        <f>SUM(K5:K159)</f>
        <v>0</v>
      </c>
      <c r="L160" s="247">
        <f>SUM(L5:L159)</f>
        <v>0</v>
      </c>
      <c r="M160" s="247">
        <f t="shared" ref="M160:T160" si="21">SUM(M5:M159)</f>
        <v>1551677.4954232394</v>
      </c>
      <c r="N160" s="63">
        <f t="shared" si="21"/>
        <v>620141.97313117073</v>
      </c>
      <c r="O160" s="63">
        <f t="shared" si="21"/>
        <v>595110.69999999995</v>
      </c>
      <c r="P160" s="63">
        <f t="shared" si="21"/>
        <v>14501.939117606953</v>
      </c>
      <c r="Q160" s="63">
        <f t="shared" si="21"/>
        <v>9462</v>
      </c>
      <c r="R160" s="63">
        <f t="shared" si="21"/>
        <v>86702.66317446169</v>
      </c>
      <c r="S160" s="63">
        <f t="shared" si="21"/>
        <v>0</v>
      </c>
      <c r="T160" s="63">
        <f t="shared" si="21"/>
        <v>225758.22000000003</v>
      </c>
    </row>
    <row r="161" spans="1:20" s="4" customFormat="1" ht="15" customHeight="1">
      <c r="A161" s="2"/>
      <c r="B161" s="2"/>
      <c r="D161" s="2"/>
      <c r="E161" s="2"/>
      <c r="F161" s="2"/>
      <c r="G161" s="2"/>
      <c r="H161" s="251"/>
      <c r="I161" s="251"/>
      <c r="J161" s="251"/>
      <c r="K161" s="251"/>
      <c r="L161" s="251"/>
      <c r="M161" s="252"/>
      <c r="N161" s="2"/>
      <c r="O161" s="2"/>
      <c r="P161" s="2"/>
      <c r="Q161" s="2"/>
      <c r="R161" s="2"/>
      <c r="S161" s="2"/>
      <c r="T161" s="2"/>
    </row>
    <row r="162" spans="1:20" s="4" customFormat="1" ht="34.5" customHeight="1">
      <c r="A162" s="2"/>
      <c r="B162" s="2"/>
      <c r="D162" s="2"/>
      <c r="E162" s="2"/>
      <c r="F162" s="2"/>
      <c r="G162" s="2"/>
      <c r="H162" s="248"/>
      <c r="I162" s="248"/>
      <c r="J162" s="249"/>
      <c r="K162" s="249"/>
      <c r="L162" s="249"/>
      <c r="M162" s="250"/>
      <c r="N162" s="239"/>
      <c r="O162" s="2"/>
      <c r="P162" s="2"/>
      <c r="Q162" s="2"/>
      <c r="R162" s="2"/>
      <c r="S162" s="2"/>
      <c r="T162" s="2"/>
    </row>
    <row r="163" spans="1:20" ht="15" customHeight="1">
      <c r="J163" s="4"/>
      <c r="N163" s="239"/>
    </row>
    <row r="164" spans="1:20" s="3" customFormat="1" ht="18.75" customHeight="1">
      <c r="K164" s="2"/>
      <c r="L164" s="2"/>
      <c r="M164" s="2"/>
      <c r="N164" s="2"/>
      <c r="O164" s="2"/>
      <c r="P164" s="2"/>
      <c r="Q164" s="2"/>
      <c r="R164" s="2"/>
      <c r="S164" s="2"/>
      <c r="T164" s="2"/>
    </row>
    <row r="166" spans="1:20" s="3" customFormat="1" ht="15" customHeight="1">
      <c r="K166" s="2"/>
      <c r="L166" s="2"/>
      <c r="M166" s="2"/>
      <c r="N166" s="2"/>
      <c r="O166" s="2"/>
      <c r="P166" s="2"/>
      <c r="Q166" s="2"/>
      <c r="R166" s="2"/>
      <c r="S166" s="2"/>
      <c r="T166" s="2"/>
    </row>
  </sheetData>
  <autoFilter ref="A4:T160">
    <filterColumn colId="3">
      <filters>
        <filter val="1"/>
      </filters>
    </filterColumn>
  </autoFilter>
  <mergeCells count="1">
    <mergeCell ref="N3:S3"/>
  </mergeCells>
  <pageMargins left="0.7" right="0.7"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dimension ref="A4:G39"/>
  <sheetViews>
    <sheetView topLeftCell="A18" zoomScaleNormal="100" workbookViewId="0">
      <selection activeCell="B41" sqref="B41"/>
    </sheetView>
  </sheetViews>
  <sheetFormatPr defaultRowHeight="15"/>
  <cols>
    <col min="1" max="1" width="50" customWidth="1"/>
    <col min="2" max="2" width="11.42578125" customWidth="1"/>
    <col min="3" max="3" width="14" customWidth="1"/>
    <col min="4" max="4" width="13.42578125" customWidth="1"/>
    <col min="5" max="5" width="27.5703125" customWidth="1"/>
    <col min="6" max="6" width="18" customWidth="1"/>
    <col min="7" max="7" width="16.85546875" customWidth="1"/>
  </cols>
  <sheetData>
    <row r="4" spans="1:7">
      <c r="B4" s="85" t="s">
        <v>905</v>
      </c>
    </row>
    <row r="5" spans="1:7" ht="30">
      <c r="A5" s="85" t="s">
        <v>415</v>
      </c>
      <c r="B5" s="267" t="s">
        <v>908</v>
      </c>
      <c r="C5" s="267" t="s">
        <v>909</v>
      </c>
      <c r="D5" s="267" t="s">
        <v>910</v>
      </c>
      <c r="E5" s="267" t="s">
        <v>911</v>
      </c>
      <c r="F5" s="267" t="s">
        <v>919</v>
      </c>
      <c r="G5" s="267" t="s">
        <v>912</v>
      </c>
    </row>
    <row r="6" spans="1:7">
      <c r="A6" s="86" t="s">
        <v>42</v>
      </c>
      <c r="B6" s="87">
        <v>366.67</v>
      </c>
      <c r="C6" s="87">
        <v>0</v>
      </c>
      <c r="D6" s="87">
        <v>0</v>
      </c>
      <c r="E6" s="87">
        <v>0</v>
      </c>
      <c r="F6" s="87">
        <v>3262.48</v>
      </c>
      <c r="G6" s="87">
        <v>3572.6928999999996</v>
      </c>
    </row>
    <row r="7" spans="1:7">
      <c r="A7" s="86" t="s">
        <v>144</v>
      </c>
      <c r="B7" s="87">
        <v>264761.05000000005</v>
      </c>
      <c r="C7" s="87">
        <v>0</v>
      </c>
      <c r="D7" s="87">
        <v>4963.0599999999995</v>
      </c>
      <c r="E7" s="87">
        <v>0</v>
      </c>
      <c r="F7" s="87">
        <v>110630.12000000001</v>
      </c>
      <c r="G7" s="87">
        <v>71066.410274461683</v>
      </c>
    </row>
    <row r="8" spans="1:7">
      <c r="A8" s="86" t="s">
        <v>390</v>
      </c>
      <c r="B8" s="87">
        <v>144393.61000000002</v>
      </c>
      <c r="C8" s="87"/>
      <c r="D8" s="87"/>
      <c r="E8" s="87">
        <v>9462</v>
      </c>
      <c r="F8" s="87">
        <v>44947.31</v>
      </c>
      <c r="G8" s="87">
        <v>5208.33</v>
      </c>
    </row>
    <row r="9" spans="1:7">
      <c r="A9" s="86" t="s">
        <v>389</v>
      </c>
      <c r="B9" s="87">
        <v>19291.52</v>
      </c>
      <c r="C9" s="87">
        <v>0</v>
      </c>
      <c r="D9" s="87">
        <v>0</v>
      </c>
      <c r="E9" s="87">
        <v>0</v>
      </c>
      <c r="F9" s="87">
        <v>41334.410000000003</v>
      </c>
      <c r="G9" s="87">
        <v>0</v>
      </c>
    </row>
    <row r="10" spans="1:7">
      <c r="A10" s="86" t="s">
        <v>4</v>
      </c>
      <c r="B10" s="87">
        <v>231954.7</v>
      </c>
      <c r="C10" s="87">
        <v>595110.69999999995</v>
      </c>
      <c r="D10" s="87">
        <v>10039.6</v>
      </c>
      <c r="E10" s="87">
        <v>0</v>
      </c>
      <c r="F10" s="87">
        <v>25583.9</v>
      </c>
      <c r="G10" s="87">
        <v>6855.2300000000005</v>
      </c>
    </row>
    <row r="11" spans="1:7">
      <c r="A11" s="86" t="s">
        <v>416</v>
      </c>
      <c r="B11" s="87">
        <v>660767.55000000005</v>
      </c>
      <c r="C11" s="87">
        <v>595110.69999999995</v>
      </c>
      <c r="D11" s="87">
        <v>15002.66</v>
      </c>
      <c r="E11" s="87">
        <v>9462</v>
      </c>
      <c r="F11" s="87">
        <v>225758.22</v>
      </c>
      <c r="G11" s="87">
        <v>86702.663174461675</v>
      </c>
    </row>
    <row r="14" spans="1:7">
      <c r="A14" s="85" t="s">
        <v>412</v>
      </c>
      <c r="B14" s="86">
        <v>1</v>
      </c>
    </row>
    <row r="16" spans="1:7">
      <c r="B16" s="85" t="s">
        <v>905</v>
      </c>
      <c r="C16" s="267"/>
      <c r="D16" s="267"/>
      <c r="E16" s="267"/>
      <c r="F16" s="267"/>
      <c r="G16" s="267"/>
    </row>
    <row r="17" spans="1:7" ht="30">
      <c r="A17" s="85" t="s">
        <v>415</v>
      </c>
      <c r="B17" t="s">
        <v>908</v>
      </c>
      <c r="C17" s="267" t="s">
        <v>909</v>
      </c>
      <c r="D17" s="267" t="s">
        <v>910</v>
      </c>
      <c r="E17" s="267" t="s">
        <v>911</v>
      </c>
      <c r="F17" s="267" t="s">
        <v>919</v>
      </c>
      <c r="G17" s="267" t="s">
        <v>912</v>
      </c>
    </row>
    <row r="18" spans="1:7">
      <c r="A18" s="86" t="s">
        <v>42</v>
      </c>
      <c r="B18" s="87">
        <v>366.67</v>
      </c>
      <c r="C18" s="87">
        <v>0</v>
      </c>
      <c r="D18" s="87">
        <v>0</v>
      </c>
      <c r="E18" s="87">
        <v>0</v>
      </c>
      <c r="F18" s="87">
        <v>3262.48</v>
      </c>
      <c r="G18" s="87">
        <v>3572.6928999999996</v>
      </c>
    </row>
    <row r="19" spans="1:7">
      <c r="A19" s="241" t="s">
        <v>405</v>
      </c>
      <c r="B19" s="87">
        <v>0</v>
      </c>
      <c r="C19" s="87">
        <v>0</v>
      </c>
      <c r="D19" s="87">
        <v>0</v>
      </c>
      <c r="E19" s="87">
        <v>0</v>
      </c>
      <c r="F19" s="87">
        <v>1262.48</v>
      </c>
      <c r="G19" s="87">
        <v>3572.6928999999996</v>
      </c>
    </row>
    <row r="20" spans="1:7">
      <c r="A20" s="241" t="s">
        <v>406</v>
      </c>
      <c r="B20" s="87">
        <v>366.67</v>
      </c>
      <c r="C20" s="87">
        <v>0</v>
      </c>
      <c r="D20" s="87">
        <v>0</v>
      </c>
      <c r="E20" s="87">
        <v>0</v>
      </c>
      <c r="F20" s="87">
        <v>2000</v>
      </c>
      <c r="G20" s="87">
        <v>0</v>
      </c>
    </row>
    <row r="21" spans="1:7">
      <c r="A21" s="86" t="s">
        <v>144</v>
      </c>
      <c r="B21" s="87">
        <v>261443.27000000002</v>
      </c>
      <c r="C21" s="87">
        <v>0</v>
      </c>
      <c r="D21" s="87">
        <v>0</v>
      </c>
      <c r="E21" s="87">
        <v>0</v>
      </c>
      <c r="F21" s="87">
        <v>16863.550000000003</v>
      </c>
      <c r="G21" s="87">
        <v>70973.580274461681</v>
      </c>
    </row>
    <row r="22" spans="1:7">
      <c r="A22" s="241" t="s">
        <v>397</v>
      </c>
      <c r="B22" s="87">
        <v>99690.44</v>
      </c>
      <c r="C22" s="87">
        <v>0</v>
      </c>
      <c r="D22" s="87">
        <v>0</v>
      </c>
      <c r="E22" s="87">
        <v>0</v>
      </c>
      <c r="F22" s="87">
        <v>10958.78</v>
      </c>
      <c r="G22" s="87">
        <v>0</v>
      </c>
    </row>
    <row r="23" spans="1:7">
      <c r="A23" s="241" t="s">
        <v>398</v>
      </c>
      <c r="B23" s="87">
        <v>124097.77</v>
      </c>
      <c r="C23" s="87"/>
      <c r="D23" s="87"/>
      <c r="E23" s="87"/>
      <c r="F23" s="87">
        <v>5904.7700000000013</v>
      </c>
      <c r="G23" s="87">
        <v>70973.580274461681</v>
      </c>
    </row>
    <row r="24" spans="1:7">
      <c r="A24" s="241" t="s">
        <v>399</v>
      </c>
      <c r="B24" s="87">
        <v>37655.06</v>
      </c>
      <c r="C24" s="87"/>
      <c r="D24" s="87"/>
      <c r="E24" s="87"/>
      <c r="F24" s="87"/>
      <c r="G24" s="87"/>
    </row>
    <row r="25" spans="1:7">
      <c r="A25" s="86" t="s">
        <v>390</v>
      </c>
      <c r="B25" s="87">
        <v>95978</v>
      </c>
      <c r="C25" s="87"/>
      <c r="D25" s="87"/>
      <c r="E25" s="87">
        <v>9462</v>
      </c>
      <c r="F25" s="87">
        <v>7140</v>
      </c>
      <c r="G25" s="87">
        <v>2500</v>
      </c>
    </row>
    <row r="26" spans="1:7">
      <c r="A26" s="241" t="s">
        <v>401</v>
      </c>
      <c r="B26" s="87">
        <v>65179.51</v>
      </c>
      <c r="C26" s="87"/>
      <c r="D26" s="87"/>
      <c r="E26" s="87"/>
      <c r="F26" s="87">
        <v>7140</v>
      </c>
      <c r="G26" s="87"/>
    </row>
    <row r="27" spans="1:7">
      <c r="A27" s="241" t="s">
        <v>402</v>
      </c>
      <c r="B27" s="87">
        <v>4854.0599999999995</v>
      </c>
      <c r="C27" s="87"/>
      <c r="D27" s="87"/>
      <c r="E27" s="87">
        <v>9462</v>
      </c>
      <c r="F27" s="87">
        <v>0</v>
      </c>
      <c r="G27" s="87">
        <v>2500</v>
      </c>
    </row>
    <row r="28" spans="1:7">
      <c r="A28" s="241" t="s">
        <v>403</v>
      </c>
      <c r="B28" s="87">
        <v>25944.43</v>
      </c>
      <c r="C28" s="87"/>
      <c r="D28" s="87"/>
      <c r="E28" s="87"/>
      <c r="F28" s="87"/>
      <c r="G28" s="87"/>
    </row>
    <row r="29" spans="1:7">
      <c r="A29" s="241" t="s">
        <v>404</v>
      </c>
      <c r="B29" s="87">
        <v>0</v>
      </c>
      <c r="C29" s="87"/>
      <c r="D29" s="87"/>
      <c r="E29" s="87"/>
      <c r="F29" s="87"/>
      <c r="G29" s="87"/>
    </row>
    <row r="30" spans="1:7">
      <c r="A30" s="86" t="s">
        <v>389</v>
      </c>
      <c r="B30" s="87">
        <v>14182.41</v>
      </c>
      <c r="C30" s="87">
        <v>0</v>
      </c>
      <c r="D30" s="87">
        <v>0</v>
      </c>
      <c r="E30" s="87">
        <v>0</v>
      </c>
      <c r="F30" s="87">
        <v>38152</v>
      </c>
      <c r="G30" s="87">
        <v>0</v>
      </c>
    </row>
    <row r="31" spans="1:7">
      <c r="A31" s="241" t="s">
        <v>400</v>
      </c>
      <c r="B31" s="87">
        <v>3182.41</v>
      </c>
      <c r="C31" s="87">
        <v>0</v>
      </c>
      <c r="D31" s="87">
        <v>0</v>
      </c>
      <c r="E31" s="87">
        <v>0</v>
      </c>
      <c r="F31" s="87">
        <v>38152</v>
      </c>
      <c r="G31" s="87">
        <v>0</v>
      </c>
    </row>
    <row r="32" spans="1:7">
      <c r="A32" s="241" t="s">
        <v>866</v>
      </c>
      <c r="B32" s="87">
        <v>11000</v>
      </c>
      <c r="C32" s="87"/>
      <c r="D32" s="87"/>
      <c r="E32" s="87"/>
      <c r="F32" s="87"/>
      <c r="G32" s="87"/>
    </row>
    <row r="33" spans="1:7">
      <c r="A33" s="86" t="s">
        <v>4</v>
      </c>
      <c r="B33" s="87">
        <v>218019.5</v>
      </c>
      <c r="C33" s="87">
        <v>595110.69999999995</v>
      </c>
      <c r="D33" s="87">
        <v>10039.6</v>
      </c>
      <c r="E33" s="87">
        <v>0</v>
      </c>
      <c r="F33" s="87">
        <v>0</v>
      </c>
      <c r="G33" s="87">
        <v>6762.43</v>
      </c>
    </row>
    <row r="34" spans="1:7">
      <c r="A34" s="241" t="s">
        <v>407</v>
      </c>
      <c r="B34" s="87">
        <v>55578.93</v>
      </c>
      <c r="C34" s="87">
        <v>595110.69999999995</v>
      </c>
      <c r="D34" s="87">
        <v>0</v>
      </c>
      <c r="E34" s="87">
        <v>0</v>
      </c>
      <c r="F34" s="87">
        <v>0</v>
      </c>
      <c r="G34" s="87">
        <v>750</v>
      </c>
    </row>
    <row r="35" spans="1:7">
      <c r="A35" s="241" t="s">
        <v>402</v>
      </c>
      <c r="B35" s="87">
        <v>72046.739999999991</v>
      </c>
      <c r="C35" s="87">
        <v>0</v>
      </c>
      <c r="D35" s="87">
        <v>0</v>
      </c>
      <c r="E35" s="87">
        <v>0</v>
      </c>
      <c r="F35" s="87">
        <v>0</v>
      </c>
      <c r="G35" s="87">
        <v>5112.8</v>
      </c>
    </row>
    <row r="36" spans="1:7">
      <c r="A36" s="241" t="s">
        <v>408</v>
      </c>
      <c r="B36" s="87">
        <v>57595.1</v>
      </c>
      <c r="C36" s="87"/>
      <c r="D36" s="87"/>
      <c r="E36" s="87"/>
      <c r="F36" s="87"/>
      <c r="G36" s="87"/>
    </row>
    <row r="37" spans="1:7">
      <c r="A37" s="241" t="s">
        <v>409</v>
      </c>
      <c r="B37" s="87">
        <v>2720.6</v>
      </c>
      <c r="C37" s="87"/>
      <c r="D37" s="87"/>
      <c r="E37" s="87"/>
      <c r="F37" s="87"/>
      <c r="G37" s="87"/>
    </row>
    <row r="38" spans="1:7">
      <c r="A38" s="241" t="s">
        <v>410</v>
      </c>
      <c r="B38" s="87">
        <v>30078.129999999997</v>
      </c>
      <c r="C38" s="87">
        <v>0</v>
      </c>
      <c r="D38" s="87">
        <v>10039.6</v>
      </c>
      <c r="E38" s="87">
        <v>0</v>
      </c>
      <c r="F38" s="87">
        <v>0</v>
      </c>
      <c r="G38" s="87">
        <v>899.63000000000011</v>
      </c>
    </row>
    <row r="39" spans="1:7">
      <c r="A39" s="86" t="s">
        <v>416</v>
      </c>
      <c r="B39" s="87">
        <v>589989.85</v>
      </c>
      <c r="C39" s="87">
        <v>595110.69999999995</v>
      </c>
      <c r="D39" s="87">
        <v>10039.6</v>
      </c>
      <c r="E39" s="87">
        <v>9462</v>
      </c>
      <c r="F39" s="87">
        <v>65418.03</v>
      </c>
      <c r="G39" s="87">
        <v>83808.703174461683</v>
      </c>
    </row>
  </sheetData>
  <pageMargins left="0.7" right="0.7" top="0.75" bottom="0.75" header="0.3" footer="0.3"/>
  <pageSetup paperSize="9" orientation="landscape" r:id="rId3"/>
</worksheet>
</file>

<file path=xl/worksheets/sheet16.xml><?xml version="1.0" encoding="utf-8"?>
<worksheet xmlns="http://schemas.openxmlformats.org/spreadsheetml/2006/main" xmlns:r="http://schemas.openxmlformats.org/officeDocument/2006/relationships">
  <sheetPr filterMode="1">
    <tabColor theme="3" tint="-0.249977111117893"/>
  </sheetPr>
  <dimension ref="A1:T166"/>
  <sheetViews>
    <sheetView zoomScaleNormal="100" workbookViewId="0">
      <pane ySplit="5" topLeftCell="A121" activePane="bottomLeft" state="frozenSplit"/>
      <selection pane="bottomLeft" activeCell="K124" sqref="K124"/>
    </sheetView>
  </sheetViews>
  <sheetFormatPr defaultRowHeight="15"/>
  <cols>
    <col min="1" max="1" width="4.5703125" style="2" customWidth="1"/>
    <col min="2" max="2" width="6.5703125" style="2" customWidth="1"/>
    <col min="3" max="3" width="30.28515625" style="2" customWidth="1"/>
    <col min="4" max="4" width="3" style="2" customWidth="1"/>
    <col min="5" max="5" width="12.140625" style="2" customWidth="1"/>
    <col min="6" max="6" width="3" style="2" customWidth="1"/>
    <col min="7" max="9" width="12.85546875" style="2" customWidth="1"/>
    <col min="10" max="10" width="10.28515625" style="3" hidden="1" customWidth="1"/>
    <col min="11" max="11" width="11" style="2" customWidth="1"/>
    <col min="12" max="12" width="11" style="2" hidden="1" customWidth="1"/>
    <col min="13" max="13" width="11.5703125" style="2" bestFit="1" customWidth="1"/>
    <col min="14" max="20" width="11.28515625" style="2" customWidth="1"/>
    <col min="21" max="16384" width="9.140625" style="2"/>
  </cols>
  <sheetData>
    <row r="1" spans="1:20" ht="19.5" customHeight="1">
      <c r="C1" s="84" t="s">
        <v>902</v>
      </c>
    </row>
    <row r="2" spans="1:20" ht="6.75" customHeight="1">
      <c r="B2" s="24"/>
    </row>
    <row r="3" spans="1:20" ht="17.25" customHeight="1">
      <c r="J3" s="2"/>
      <c r="N3" s="381" t="s">
        <v>894</v>
      </c>
      <c r="O3" s="381"/>
      <c r="P3" s="381"/>
      <c r="Q3" s="381"/>
      <c r="R3" s="381"/>
      <c r="S3" s="381"/>
    </row>
    <row r="4" spans="1:20" ht="44.25" customHeight="1">
      <c r="A4" s="82" t="s">
        <v>278</v>
      </c>
      <c r="B4" s="74" t="s">
        <v>276</v>
      </c>
      <c r="C4" s="81" t="s">
        <v>275</v>
      </c>
      <c r="D4" s="75" t="s">
        <v>412</v>
      </c>
      <c r="E4" s="39" t="s">
        <v>274</v>
      </c>
      <c r="F4" s="76" t="s">
        <v>413</v>
      </c>
      <c r="G4" s="53" t="s">
        <v>411</v>
      </c>
      <c r="H4" s="61" t="s">
        <v>267</v>
      </c>
      <c r="I4" s="34" t="s">
        <v>273</v>
      </c>
      <c r="J4" s="77" t="s">
        <v>270</v>
      </c>
      <c r="K4" s="77" t="s">
        <v>269</v>
      </c>
      <c r="L4" s="73" t="s">
        <v>268</v>
      </c>
      <c r="M4" s="72" t="s">
        <v>904</v>
      </c>
      <c r="N4" s="219" t="s">
        <v>895</v>
      </c>
      <c r="O4" s="221" t="s">
        <v>896</v>
      </c>
      <c r="P4" s="222" t="s">
        <v>897</v>
      </c>
      <c r="Q4" s="220" t="s">
        <v>898</v>
      </c>
      <c r="R4" s="223" t="s">
        <v>899</v>
      </c>
      <c r="S4" s="218" t="s">
        <v>900</v>
      </c>
      <c r="T4" s="243" t="s">
        <v>916</v>
      </c>
    </row>
    <row r="5" spans="1:20" ht="52.5" hidden="1" customHeight="1">
      <c r="A5" s="12">
        <v>1</v>
      </c>
      <c r="B5" s="10" t="s">
        <v>266</v>
      </c>
      <c r="C5" s="14" t="s">
        <v>865</v>
      </c>
      <c r="D5" s="6">
        <v>2</v>
      </c>
      <c r="E5" s="8" t="s">
        <v>144</v>
      </c>
      <c r="F5" s="8">
        <v>1</v>
      </c>
      <c r="G5" s="66" t="s">
        <v>397</v>
      </c>
      <c r="H5" s="5" t="s">
        <v>334</v>
      </c>
      <c r="I5" s="28" t="s">
        <v>184</v>
      </c>
      <c r="J5" s="43"/>
      <c r="K5" s="43">
        <v>0</v>
      </c>
      <c r="L5" s="43"/>
      <c r="M5" s="78">
        <f>+J5+K5+L5</f>
        <v>0</v>
      </c>
      <c r="N5" s="78"/>
      <c r="O5" s="78"/>
      <c r="P5" s="78"/>
      <c r="Q5" s="78"/>
      <c r="R5" s="78"/>
      <c r="S5" s="78"/>
      <c r="T5" s="78">
        <f>+M5</f>
        <v>0</v>
      </c>
    </row>
    <row r="6" spans="1:20" ht="52.5" customHeight="1">
      <c r="A6" s="12">
        <v>2</v>
      </c>
      <c r="B6" s="10" t="s">
        <v>264</v>
      </c>
      <c r="C6" s="14" t="s">
        <v>263</v>
      </c>
      <c r="D6" s="6">
        <v>1</v>
      </c>
      <c r="E6" s="8" t="s">
        <v>144</v>
      </c>
      <c r="F6" s="8">
        <v>1</v>
      </c>
      <c r="G6" s="66" t="s">
        <v>397</v>
      </c>
      <c r="H6" s="5" t="s">
        <v>334</v>
      </c>
      <c r="I6" s="28" t="s">
        <v>184</v>
      </c>
      <c r="J6" s="224"/>
      <c r="K6" s="224">
        <f>'Dados Detalhados'!$L$37</f>
        <v>6177.64</v>
      </c>
      <c r="L6" s="224"/>
      <c r="M6" s="78">
        <f t="shared" ref="M6:M69" si="0">+J6+K6+L6</f>
        <v>6177.64</v>
      </c>
      <c r="N6" s="78">
        <f>+M6</f>
        <v>6177.64</v>
      </c>
      <c r="O6" s="78"/>
      <c r="P6" s="78"/>
      <c r="Q6" s="78"/>
      <c r="R6" s="78"/>
      <c r="S6" s="78"/>
      <c r="T6" s="78"/>
    </row>
    <row r="7" spans="1:20" ht="52.5" hidden="1" customHeight="1">
      <c r="A7" s="12">
        <v>3</v>
      </c>
      <c r="B7" s="10" t="s">
        <v>262</v>
      </c>
      <c r="C7" s="14" t="s">
        <v>261</v>
      </c>
      <c r="D7" s="6">
        <v>3</v>
      </c>
      <c r="E7" s="8" t="s">
        <v>144</v>
      </c>
      <c r="F7" s="8">
        <v>1</v>
      </c>
      <c r="G7" s="66" t="s">
        <v>397</v>
      </c>
      <c r="H7" s="5" t="s">
        <v>334</v>
      </c>
      <c r="I7" s="28" t="s">
        <v>184</v>
      </c>
      <c r="J7" s="43"/>
      <c r="K7" s="43">
        <v>0</v>
      </c>
      <c r="L7" s="43"/>
      <c r="M7" s="78">
        <f t="shared" si="0"/>
        <v>0</v>
      </c>
      <c r="N7" s="78"/>
      <c r="O7" s="78"/>
      <c r="P7" s="78"/>
      <c r="Q7" s="78"/>
      <c r="R7" s="78"/>
      <c r="S7" s="78"/>
      <c r="T7" s="78">
        <f>+M7</f>
        <v>0</v>
      </c>
    </row>
    <row r="8" spans="1:20" ht="52.5" customHeight="1">
      <c r="A8" s="12">
        <v>4</v>
      </c>
      <c r="B8" s="10" t="s">
        <v>260</v>
      </c>
      <c r="C8" s="14" t="s">
        <v>259</v>
      </c>
      <c r="D8" s="6">
        <v>1</v>
      </c>
      <c r="E8" s="8" t="s">
        <v>144</v>
      </c>
      <c r="F8" s="8">
        <v>1</v>
      </c>
      <c r="G8" s="66" t="s">
        <v>397</v>
      </c>
      <c r="H8" s="5" t="s">
        <v>334</v>
      </c>
      <c r="I8" s="28" t="s">
        <v>184</v>
      </c>
      <c r="J8" s="224"/>
      <c r="K8" s="224">
        <f>'Dados Detalhados'!$L$95</f>
        <v>1905.11</v>
      </c>
      <c r="L8" s="224"/>
      <c r="M8" s="78">
        <f t="shared" si="0"/>
        <v>1905.11</v>
      </c>
      <c r="N8" s="78">
        <f t="shared" ref="N8:N71" si="1">+M8</f>
        <v>1905.11</v>
      </c>
      <c r="O8" s="78"/>
      <c r="P8" s="78"/>
      <c r="Q8" s="78"/>
      <c r="R8" s="78"/>
      <c r="S8" s="78"/>
      <c r="T8" s="78"/>
    </row>
    <row r="9" spans="1:20" ht="52.5" hidden="1" customHeight="1">
      <c r="A9" s="12">
        <v>5</v>
      </c>
      <c r="B9" s="10" t="s">
        <v>258</v>
      </c>
      <c r="C9" s="14" t="s">
        <v>257</v>
      </c>
      <c r="D9" s="6">
        <v>3</v>
      </c>
      <c r="E9" s="8" t="s">
        <v>144</v>
      </c>
      <c r="F9" s="8">
        <v>1</v>
      </c>
      <c r="G9" s="66" t="s">
        <v>397</v>
      </c>
      <c r="H9" s="5" t="s">
        <v>334</v>
      </c>
      <c r="I9" s="28" t="s">
        <v>184</v>
      </c>
      <c r="J9" s="224"/>
      <c r="K9" s="224">
        <f>'Dados Detalhados'!$L$124</f>
        <v>2951.1100000000006</v>
      </c>
      <c r="L9" s="224"/>
      <c r="M9" s="78">
        <f t="shared" si="0"/>
        <v>2951.1100000000006</v>
      </c>
      <c r="N9" s="78">
        <f t="shared" si="1"/>
        <v>2951.1100000000006</v>
      </c>
      <c r="O9" s="78"/>
      <c r="P9" s="78"/>
      <c r="Q9" s="78"/>
      <c r="R9" s="78"/>
      <c r="S9" s="78"/>
      <c r="T9" s="78"/>
    </row>
    <row r="10" spans="1:20" ht="52.5" hidden="1" customHeight="1">
      <c r="A10" s="12">
        <v>6</v>
      </c>
      <c r="B10" s="10" t="s">
        <v>256</v>
      </c>
      <c r="C10" s="14" t="s">
        <v>255</v>
      </c>
      <c r="D10" s="6">
        <v>3</v>
      </c>
      <c r="E10" s="8" t="s">
        <v>144</v>
      </c>
      <c r="F10" s="8">
        <v>1</v>
      </c>
      <c r="G10" s="66" t="s">
        <v>397</v>
      </c>
      <c r="H10" s="5" t="s">
        <v>334</v>
      </c>
      <c r="I10" s="28" t="s">
        <v>184</v>
      </c>
      <c r="J10" s="43"/>
      <c r="K10" s="43">
        <v>0</v>
      </c>
      <c r="L10" s="43"/>
      <c r="M10" s="78">
        <f t="shared" si="0"/>
        <v>0</v>
      </c>
      <c r="N10" s="78"/>
      <c r="O10" s="78"/>
      <c r="P10" s="78"/>
      <c r="Q10" s="78"/>
      <c r="R10" s="78"/>
      <c r="S10" s="78"/>
      <c r="T10" s="78">
        <f>+M10</f>
        <v>0</v>
      </c>
    </row>
    <row r="11" spans="1:20" ht="52.5" hidden="1" customHeight="1">
      <c r="A11" s="12">
        <v>7</v>
      </c>
      <c r="B11" s="14" t="s">
        <v>254</v>
      </c>
      <c r="C11" s="14" t="s">
        <v>253</v>
      </c>
      <c r="D11" s="6">
        <v>2</v>
      </c>
      <c r="E11" s="8" t="s">
        <v>144</v>
      </c>
      <c r="F11" s="8">
        <v>1</v>
      </c>
      <c r="G11" s="66" t="s">
        <v>397</v>
      </c>
      <c r="H11" s="5" t="s">
        <v>334</v>
      </c>
      <c r="I11" s="28" t="s">
        <v>184</v>
      </c>
      <c r="J11" s="225"/>
      <c r="K11" s="43">
        <v>0</v>
      </c>
      <c r="L11" s="43"/>
      <c r="M11" s="78">
        <f t="shared" si="0"/>
        <v>0</v>
      </c>
      <c r="N11" s="78"/>
      <c r="O11" s="78"/>
      <c r="P11" s="78">
        <f t="shared" ref="P11:P52" si="2">+M11</f>
        <v>0</v>
      </c>
      <c r="Q11" s="78"/>
      <c r="R11" s="78"/>
      <c r="S11" s="78"/>
      <c r="T11" s="78"/>
    </row>
    <row r="12" spans="1:20" ht="52.5" customHeight="1">
      <c r="A12" s="12">
        <v>8</v>
      </c>
      <c r="B12" s="14" t="s">
        <v>252</v>
      </c>
      <c r="C12" s="14" t="s">
        <v>251</v>
      </c>
      <c r="D12" s="6">
        <v>1</v>
      </c>
      <c r="E12" s="8" t="s">
        <v>144</v>
      </c>
      <c r="F12" s="8">
        <v>1</v>
      </c>
      <c r="G12" s="66" t="s">
        <v>397</v>
      </c>
      <c r="H12" s="5"/>
      <c r="I12" s="28" t="s">
        <v>184</v>
      </c>
      <c r="J12" s="43"/>
      <c r="K12" s="43">
        <v>0</v>
      </c>
      <c r="L12" s="43"/>
      <c r="M12" s="78">
        <f t="shared" si="0"/>
        <v>0</v>
      </c>
      <c r="N12" s="78"/>
      <c r="O12" s="78"/>
      <c r="P12" s="78"/>
      <c r="Q12" s="78"/>
      <c r="R12" s="78"/>
      <c r="S12" s="78"/>
      <c r="T12" s="78">
        <f t="shared" ref="T12:T75" si="3">+M12</f>
        <v>0</v>
      </c>
    </row>
    <row r="13" spans="1:20" ht="52.5" customHeight="1">
      <c r="A13" s="12">
        <v>9</v>
      </c>
      <c r="B13" s="10" t="s">
        <v>250</v>
      </c>
      <c r="C13" s="14" t="s">
        <v>249</v>
      </c>
      <c r="D13" s="6">
        <v>1</v>
      </c>
      <c r="E13" s="8" t="s">
        <v>144</v>
      </c>
      <c r="F13" s="8">
        <v>1</v>
      </c>
      <c r="G13" s="66" t="s">
        <v>397</v>
      </c>
      <c r="H13" s="5" t="s">
        <v>334</v>
      </c>
      <c r="I13" s="28" t="s">
        <v>184</v>
      </c>
      <c r="J13" s="43"/>
      <c r="K13" s="224">
        <f>'Dados Detalhados'!$L$216</f>
        <v>2058.5600000000004</v>
      </c>
      <c r="L13" s="43"/>
      <c r="M13" s="78">
        <f t="shared" si="0"/>
        <v>2058.5600000000004</v>
      </c>
      <c r="N13" s="78">
        <f t="shared" si="1"/>
        <v>2058.5600000000004</v>
      </c>
      <c r="O13" s="78"/>
      <c r="P13" s="78"/>
      <c r="Q13" s="78"/>
      <c r="R13" s="78"/>
      <c r="S13" s="78"/>
      <c r="T13" s="78"/>
    </row>
    <row r="14" spans="1:20" ht="52.5" hidden="1" customHeight="1">
      <c r="A14" s="12">
        <v>10</v>
      </c>
      <c r="B14" s="10" t="s">
        <v>248</v>
      </c>
      <c r="C14" s="10" t="s">
        <v>247</v>
      </c>
      <c r="D14" s="6">
        <v>3</v>
      </c>
      <c r="E14" s="8" t="s">
        <v>144</v>
      </c>
      <c r="F14" s="8">
        <v>1</v>
      </c>
      <c r="G14" s="66" t="s">
        <v>397</v>
      </c>
      <c r="H14" s="9" t="s">
        <v>334</v>
      </c>
      <c r="I14" s="28" t="s">
        <v>184</v>
      </c>
      <c r="J14" s="43"/>
      <c r="K14" s="43">
        <v>0</v>
      </c>
      <c r="L14" s="43"/>
      <c r="M14" s="78">
        <f t="shared" si="0"/>
        <v>0</v>
      </c>
      <c r="N14" s="78"/>
      <c r="O14" s="78"/>
      <c r="P14" s="78"/>
      <c r="Q14" s="78"/>
      <c r="R14" s="78">
        <f t="shared" ref="R14:R62" si="4">+M14</f>
        <v>0</v>
      </c>
      <c r="S14" s="78"/>
      <c r="T14" s="78"/>
    </row>
    <row r="15" spans="1:20" ht="52.5" customHeight="1">
      <c r="A15" s="12">
        <v>11</v>
      </c>
      <c r="B15" s="10" t="s">
        <v>246</v>
      </c>
      <c r="C15" s="51" t="s">
        <v>333</v>
      </c>
      <c r="D15" s="6">
        <v>1</v>
      </c>
      <c r="E15" s="8" t="s">
        <v>144</v>
      </c>
      <c r="F15" s="8">
        <v>1</v>
      </c>
      <c r="G15" s="66" t="s">
        <v>397</v>
      </c>
      <c r="H15" s="5"/>
      <c r="I15" s="28" t="s">
        <v>184</v>
      </c>
      <c r="J15" s="43"/>
      <c r="K15" s="43"/>
      <c r="L15" s="43"/>
      <c r="M15" s="78">
        <f t="shared" si="0"/>
        <v>0</v>
      </c>
      <c r="N15" s="78">
        <f t="shared" si="1"/>
        <v>0</v>
      </c>
      <c r="O15" s="78">
        <f t="shared" ref="O15:O51" si="5">+M15</f>
        <v>0</v>
      </c>
      <c r="P15" s="78">
        <f t="shared" si="2"/>
        <v>0</v>
      </c>
      <c r="Q15" s="78">
        <f t="shared" ref="Q15:Q51" si="6">+M15</f>
        <v>0</v>
      </c>
      <c r="R15" s="78">
        <f t="shared" si="4"/>
        <v>0</v>
      </c>
      <c r="S15" s="78"/>
      <c r="T15" s="78">
        <f t="shared" si="3"/>
        <v>0</v>
      </c>
    </row>
    <row r="16" spans="1:20" ht="52.5" customHeight="1">
      <c r="A16" s="12">
        <v>12</v>
      </c>
      <c r="B16" s="10" t="s">
        <v>245</v>
      </c>
      <c r="C16" s="51" t="s">
        <v>393</v>
      </c>
      <c r="D16" s="6">
        <v>1</v>
      </c>
      <c r="E16" s="8" t="s">
        <v>144</v>
      </c>
      <c r="F16" s="8">
        <v>1</v>
      </c>
      <c r="G16" s="66" t="s">
        <v>397</v>
      </c>
      <c r="H16" s="9"/>
      <c r="I16" s="28" t="s">
        <v>184</v>
      </c>
      <c r="J16" s="224"/>
      <c r="K16" s="224">
        <f>'Dados Detalhados'!$L$247</f>
        <v>60330</v>
      </c>
      <c r="L16" s="224"/>
      <c r="M16" s="78">
        <f t="shared" si="0"/>
        <v>60330</v>
      </c>
      <c r="N16" s="78">
        <f t="shared" si="1"/>
        <v>60330</v>
      </c>
      <c r="O16" s="78"/>
      <c r="P16" s="78"/>
      <c r="Q16" s="78"/>
      <c r="R16" s="78"/>
      <c r="S16" s="78"/>
      <c r="T16" s="78"/>
    </row>
    <row r="17" spans="1:20" ht="52.5" customHeight="1">
      <c r="A17" s="12">
        <v>13</v>
      </c>
      <c r="B17" s="10" t="s">
        <v>244</v>
      </c>
      <c r="C17" s="14" t="s">
        <v>243</v>
      </c>
      <c r="D17" s="6">
        <v>1</v>
      </c>
      <c r="E17" s="8" t="s">
        <v>144</v>
      </c>
      <c r="F17" s="8">
        <v>1</v>
      </c>
      <c r="G17" s="66" t="s">
        <v>397</v>
      </c>
      <c r="H17" s="5"/>
      <c r="I17" s="28" t="s">
        <v>184</v>
      </c>
      <c r="J17" s="43"/>
      <c r="K17" s="43">
        <v>0</v>
      </c>
      <c r="L17" s="43"/>
      <c r="M17" s="78">
        <f t="shared" si="0"/>
        <v>0</v>
      </c>
      <c r="N17" s="78"/>
      <c r="O17" s="78">
        <f t="shared" si="5"/>
        <v>0</v>
      </c>
      <c r="P17" s="78"/>
      <c r="Q17" s="78"/>
      <c r="R17" s="78"/>
      <c r="S17" s="78"/>
      <c r="T17" s="78"/>
    </row>
    <row r="18" spans="1:20" ht="52.5" customHeight="1">
      <c r="A18" s="12">
        <v>14</v>
      </c>
      <c r="B18" s="10" t="s">
        <v>242</v>
      </c>
      <c r="C18" s="14" t="s">
        <v>241</v>
      </c>
      <c r="D18" s="6">
        <v>1</v>
      </c>
      <c r="E18" s="8" t="s">
        <v>144</v>
      </c>
      <c r="F18" s="8">
        <v>1</v>
      </c>
      <c r="G18" s="66" t="s">
        <v>397</v>
      </c>
      <c r="H18" s="5" t="s">
        <v>332</v>
      </c>
      <c r="I18" s="28" t="s">
        <v>184</v>
      </c>
      <c r="J18" s="224"/>
      <c r="K18" s="43">
        <v>0</v>
      </c>
      <c r="L18" s="43"/>
      <c r="M18" s="78">
        <f t="shared" si="0"/>
        <v>0</v>
      </c>
      <c r="N18" s="78">
        <f t="shared" si="1"/>
        <v>0</v>
      </c>
      <c r="O18" s="78"/>
      <c r="P18" s="78"/>
      <c r="Q18" s="78"/>
      <c r="R18" s="78"/>
      <c r="S18" s="78"/>
      <c r="T18" s="78"/>
    </row>
    <row r="19" spans="1:20" ht="52.5" customHeight="1">
      <c r="A19" s="12">
        <v>15</v>
      </c>
      <c r="B19" s="10" t="s">
        <v>240</v>
      </c>
      <c r="C19" s="14" t="s">
        <v>239</v>
      </c>
      <c r="D19" s="6">
        <v>1</v>
      </c>
      <c r="E19" s="8" t="s">
        <v>144</v>
      </c>
      <c r="F19" s="8">
        <v>1</v>
      </c>
      <c r="G19" s="66" t="s">
        <v>397</v>
      </c>
      <c r="H19" s="5" t="s">
        <v>332</v>
      </c>
      <c r="I19" s="28" t="s">
        <v>184</v>
      </c>
      <c r="J19" s="43"/>
      <c r="K19" s="43">
        <v>0</v>
      </c>
      <c r="L19" s="43"/>
      <c r="M19" s="78">
        <f t="shared" si="0"/>
        <v>0</v>
      </c>
      <c r="N19" s="78">
        <f t="shared" si="1"/>
        <v>0</v>
      </c>
      <c r="O19" s="78"/>
      <c r="P19" s="78"/>
      <c r="Q19" s="78"/>
      <c r="R19" s="78"/>
      <c r="S19" s="78"/>
      <c r="T19" s="78"/>
    </row>
    <row r="20" spans="1:20" ht="52.5" hidden="1" customHeight="1">
      <c r="A20" s="12">
        <v>16</v>
      </c>
      <c r="B20" s="10" t="s">
        <v>238</v>
      </c>
      <c r="C20" s="14" t="s">
        <v>237</v>
      </c>
      <c r="D20" s="6">
        <v>2</v>
      </c>
      <c r="E20" s="8" t="s">
        <v>144</v>
      </c>
      <c r="F20" s="8">
        <v>1</v>
      </c>
      <c r="G20" s="66" t="s">
        <v>397</v>
      </c>
      <c r="H20" s="5" t="s">
        <v>332</v>
      </c>
      <c r="I20" s="28" t="s">
        <v>184</v>
      </c>
      <c r="J20" s="43"/>
      <c r="K20" s="43">
        <v>0</v>
      </c>
      <c r="L20" s="43"/>
      <c r="M20" s="78">
        <f t="shared" si="0"/>
        <v>0</v>
      </c>
      <c r="N20" s="78"/>
      <c r="O20" s="78"/>
      <c r="P20" s="78"/>
      <c r="Q20" s="78"/>
      <c r="R20" s="78"/>
      <c r="S20" s="78"/>
      <c r="T20" s="78">
        <f t="shared" si="3"/>
        <v>0</v>
      </c>
    </row>
    <row r="21" spans="1:20" ht="52.5" customHeight="1">
      <c r="A21" s="12">
        <v>17</v>
      </c>
      <c r="B21" s="10" t="s">
        <v>236</v>
      </c>
      <c r="C21" s="14" t="s">
        <v>235</v>
      </c>
      <c r="D21" s="6">
        <v>1</v>
      </c>
      <c r="E21" s="8" t="s">
        <v>144</v>
      </c>
      <c r="F21" s="8">
        <v>1</v>
      </c>
      <c r="G21" s="66" t="s">
        <v>397</v>
      </c>
      <c r="H21" s="5" t="s">
        <v>332</v>
      </c>
      <c r="I21" s="28" t="s">
        <v>184</v>
      </c>
      <c r="J21" s="43"/>
      <c r="K21" s="43">
        <v>0</v>
      </c>
      <c r="L21" s="43"/>
      <c r="M21" s="78">
        <f t="shared" si="0"/>
        <v>0</v>
      </c>
      <c r="N21" s="78"/>
      <c r="O21" s="78"/>
      <c r="P21" s="78"/>
      <c r="Q21" s="78"/>
      <c r="R21" s="78"/>
      <c r="S21" s="78"/>
      <c r="T21" s="78">
        <f t="shared" si="3"/>
        <v>0</v>
      </c>
    </row>
    <row r="22" spans="1:20" ht="52.5" customHeight="1">
      <c r="A22" s="12">
        <v>18</v>
      </c>
      <c r="B22" s="10" t="s">
        <v>234</v>
      </c>
      <c r="C22" s="14" t="s">
        <v>233</v>
      </c>
      <c r="D22" s="6">
        <v>1</v>
      </c>
      <c r="E22" s="8" t="s">
        <v>389</v>
      </c>
      <c r="F22" s="8">
        <v>2</v>
      </c>
      <c r="G22" s="66" t="s">
        <v>400</v>
      </c>
      <c r="H22" s="5" t="s">
        <v>332</v>
      </c>
      <c r="I22" s="28" t="s">
        <v>184</v>
      </c>
      <c r="J22" s="43"/>
      <c r="K22" s="43">
        <f>'Dados Detalhados'!$L$310</f>
        <v>38152</v>
      </c>
      <c r="L22" s="43"/>
      <c r="M22" s="78">
        <f t="shared" si="0"/>
        <v>38152</v>
      </c>
      <c r="N22" s="78"/>
      <c r="O22" s="78"/>
      <c r="P22" s="78"/>
      <c r="Q22" s="78"/>
      <c r="R22" s="78"/>
      <c r="S22" s="78"/>
      <c r="T22" s="78">
        <f t="shared" si="3"/>
        <v>38152</v>
      </c>
    </row>
    <row r="23" spans="1:20" ht="52.5" customHeight="1">
      <c r="A23" s="12">
        <v>19</v>
      </c>
      <c r="B23" s="10" t="s">
        <v>232</v>
      </c>
      <c r="C23" s="14" t="s">
        <v>231</v>
      </c>
      <c r="D23" s="6">
        <v>1</v>
      </c>
      <c r="E23" s="8" t="s">
        <v>144</v>
      </c>
      <c r="F23" s="8">
        <v>1</v>
      </c>
      <c r="G23" s="66" t="s">
        <v>399</v>
      </c>
      <c r="H23" s="5" t="s">
        <v>332</v>
      </c>
      <c r="I23" s="28" t="s">
        <v>184</v>
      </c>
      <c r="J23" s="224"/>
      <c r="K23" s="43"/>
      <c r="L23" s="43"/>
      <c r="M23" s="78">
        <f t="shared" si="0"/>
        <v>0</v>
      </c>
      <c r="N23" s="78">
        <f t="shared" si="1"/>
        <v>0</v>
      </c>
      <c r="O23" s="78"/>
      <c r="P23" s="78"/>
      <c r="Q23" s="78"/>
      <c r="R23" s="78"/>
      <c r="S23" s="78"/>
      <c r="T23" s="78"/>
    </row>
    <row r="24" spans="1:20" ht="52.5" customHeight="1">
      <c r="A24" s="12">
        <v>20</v>
      </c>
      <c r="B24" s="10" t="s">
        <v>230</v>
      </c>
      <c r="C24" s="14" t="s">
        <v>229</v>
      </c>
      <c r="D24" s="6">
        <v>1</v>
      </c>
      <c r="E24" s="8" t="s">
        <v>144</v>
      </c>
      <c r="F24" s="8">
        <v>1</v>
      </c>
      <c r="G24" s="66" t="s">
        <v>399</v>
      </c>
      <c r="H24" s="5" t="s">
        <v>332</v>
      </c>
      <c r="I24" s="28" t="s">
        <v>184</v>
      </c>
      <c r="J24" s="224"/>
      <c r="K24" s="43">
        <v>0</v>
      </c>
      <c r="L24" s="43"/>
      <c r="M24" s="78">
        <f t="shared" si="0"/>
        <v>0</v>
      </c>
      <c r="N24" s="78">
        <f t="shared" si="1"/>
        <v>0</v>
      </c>
      <c r="O24" s="78"/>
      <c r="P24" s="78"/>
      <c r="Q24" s="78"/>
      <c r="R24" s="78"/>
      <c r="S24" s="78"/>
      <c r="T24" s="78"/>
    </row>
    <row r="25" spans="1:20" ht="58.5" hidden="1" customHeight="1">
      <c r="A25" s="12">
        <v>21</v>
      </c>
      <c r="B25" s="10" t="s">
        <v>228</v>
      </c>
      <c r="C25" s="14" t="s">
        <v>227</v>
      </c>
      <c r="D25" s="6">
        <v>2</v>
      </c>
      <c r="E25" s="8" t="s">
        <v>144</v>
      </c>
      <c r="F25" s="8">
        <v>1</v>
      </c>
      <c r="G25" s="66" t="s">
        <v>399</v>
      </c>
      <c r="H25" s="5" t="s">
        <v>332</v>
      </c>
      <c r="I25" s="28" t="s">
        <v>184</v>
      </c>
      <c r="J25" s="43"/>
      <c r="K25" s="43"/>
      <c r="L25" s="43"/>
      <c r="M25" s="78">
        <f t="shared" si="0"/>
        <v>0</v>
      </c>
      <c r="N25" s="78"/>
      <c r="O25" s="78"/>
      <c r="P25" s="78"/>
      <c r="Q25" s="78"/>
      <c r="R25" s="78"/>
      <c r="S25" s="78"/>
      <c r="T25" s="78">
        <f t="shared" si="3"/>
        <v>0</v>
      </c>
    </row>
    <row r="26" spans="1:20" ht="52.5" customHeight="1">
      <c r="A26" s="12">
        <v>22</v>
      </c>
      <c r="B26" s="10" t="s">
        <v>226</v>
      </c>
      <c r="C26" s="14" t="s">
        <v>225</v>
      </c>
      <c r="D26" s="6">
        <v>1</v>
      </c>
      <c r="E26" s="8" t="s">
        <v>144</v>
      </c>
      <c r="F26" s="8">
        <v>1</v>
      </c>
      <c r="G26" s="66" t="s">
        <v>397</v>
      </c>
      <c r="H26" s="5" t="s">
        <v>331</v>
      </c>
      <c r="I26" s="28" t="s">
        <v>184</v>
      </c>
      <c r="J26" s="43"/>
      <c r="K26" s="43">
        <v>0</v>
      </c>
      <c r="L26" s="43"/>
      <c r="M26" s="78">
        <f t="shared" si="0"/>
        <v>0</v>
      </c>
      <c r="N26" s="78"/>
      <c r="O26" s="78"/>
      <c r="P26" s="78"/>
      <c r="Q26" s="78"/>
      <c r="R26" s="78">
        <f t="shared" si="4"/>
        <v>0</v>
      </c>
      <c r="S26" s="78"/>
      <c r="T26" s="78"/>
    </row>
    <row r="27" spans="1:20" ht="52.5" hidden="1" customHeight="1">
      <c r="A27" s="12">
        <v>23</v>
      </c>
      <c r="B27" s="10" t="s">
        <v>2</v>
      </c>
      <c r="C27" s="10" t="s">
        <v>224</v>
      </c>
      <c r="D27" s="6">
        <v>3</v>
      </c>
      <c r="E27" s="8" t="s">
        <v>144</v>
      </c>
      <c r="F27" s="8">
        <v>1</v>
      </c>
      <c r="G27" s="66" t="s">
        <v>397</v>
      </c>
      <c r="H27" s="5" t="s">
        <v>330</v>
      </c>
      <c r="I27" s="28" t="s">
        <v>184</v>
      </c>
      <c r="J27" s="224"/>
      <c r="K27" s="224">
        <f>'Dados Detalhados'!$L$355</f>
        <v>366.67</v>
      </c>
      <c r="L27" s="224"/>
      <c r="M27" s="78">
        <f t="shared" si="0"/>
        <v>366.67</v>
      </c>
      <c r="N27" s="78">
        <f t="shared" si="1"/>
        <v>366.67</v>
      </c>
      <c r="O27" s="78"/>
      <c r="P27" s="78"/>
      <c r="Q27" s="78"/>
      <c r="R27" s="78"/>
      <c r="S27" s="78"/>
      <c r="T27" s="78"/>
    </row>
    <row r="28" spans="1:20" ht="52.5" customHeight="1">
      <c r="A28" s="12">
        <v>24</v>
      </c>
      <c r="B28" s="10" t="s">
        <v>223</v>
      </c>
      <c r="C28" s="10" t="s">
        <v>222</v>
      </c>
      <c r="D28" s="6">
        <v>1</v>
      </c>
      <c r="E28" s="8" t="s">
        <v>144</v>
      </c>
      <c r="F28" s="8">
        <v>1</v>
      </c>
      <c r="G28" s="66" t="s">
        <v>397</v>
      </c>
      <c r="H28" s="5"/>
      <c r="I28" s="28" t="s">
        <v>184</v>
      </c>
      <c r="J28" s="224"/>
      <c r="K28" s="224">
        <f>'Dados Detalhados'!$L$360</f>
        <v>1450</v>
      </c>
      <c r="L28" s="224"/>
      <c r="M28" s="78">
        <f t="shared" si="0"/>
        <v>1450</v>
      </c>
      <c r="N28" s="78">
        <f t="shared" si="1"/>
        <v>1450</v>
      </c>
      <c r="O28" s="78"/>
      <c r="P28" s="78"/>
      <c r="Q28" s="78"/>
      <c r="R28" s="78"/>
      <c r="S28" s="78"/>
      <c r="T28" s="78"/>
    </row>
    <row r="29" spans="1:20" ht="52.5" customHeight="1">
      <c r="A29" s="12">
        <v>25</v>
      </c>
      <c r="B29" s="10" t="s">
        <v>221</v>
      </c>
      <c r="C29" s="18" t="s">
        <v>220</v>
      </c>
      <c r="D29" s="6">
        <v>1</v>
      </c>
      <c r="E29" s="8" t="s">
        <v>144</v>
      </c>
      <c r="F29" s="8">
        <v>1</v>
      </c>
      <c r="G29" s="66" t="s">
        <v>398</v>
      </c>
      <c r="H29" s="5" t="s">
        <v>329</v>
      </c>
      <c r="I29" s="28" t="s">
        <v>184</v>
      </c>
      <c r="J29" s="42"/>
      <c r="K29" s="42">
        <f>'Dados Detalhados'!$L$368</f>
        <v>5904.7700000000013</v>
      </c>
      <c r="L29" s="42"/>
      <c r="M29" s="78">
        <f t="shared" si="0"/>
        <v>5904.7700000000013</v>
      </c>
      <c r="N29" s="78"/>
      <c r="O29" s="78"/>
      <c r="P29" s="78"/>
      <c r="Q29" s="78"/>
      <c r="R29" s="78"/>
      <c r="S29" s="78"/>
      <c r="T29" s="78">
        <f t="shared" si="3"/>
        <v>5904.7700000000013</v>
      </c>
    </row>
    <row r="30" spans="1:20" ht="52.5" customHeight="1">
      <c r="A30" s="12">
        <v>26</v>
      </c>
      <c r="B30" s="11" t="s">
        <v>219</v>
      </c>
      <c r="C30" s="1" t="s">
        <v>889</v>
      </c>
      <c r="D30" s="151">
        <v>1</v>
      </c>
      <c r="E30" s="33" t="s">
        <v>144</v>
      </c>
      <c r="F30" s="8">
        <v>1</v>
      </c>
      <c r="G30" s="66" t="s">
        <v>398</v>
      </c>
      <c r="H30" s="5"/>
      <c r="I30" s="28" t="s">
        <v>184</v>
      </c>
      <c r="J30" s="224"/>
      <c r="K30" s="224">
        <f>'Dados Detalhados'!$L$395</f>
        <v>5074.08</v>
      </c>
      <c r="L30" s="224"/>
      <c r="M30" s="78">
        <f t="shared" si="0"/>
        <v>5074.08</v>
      </c>
      <c r="N30" s="78">
        <f t="shared" si="1"/>
        <v>5074.08</v>
      </c>
      <c r="O30" s="78"/>
      <c r="P30" s="78"/>
      <c r="Q30" s="78"/>
      <c r="R30" s="78"/>
      <c r="S30" s="78"/>
      <c r="T30" s="78"/>
    </row>
    <row r="31" spans="1:20" ht="52.5" customHeight="1">
      <c r="A31" s="217" t="s">
        <v>890</v>
      </c>
      <c r="B31" s="51" t="s">
        <v>891</v>
      </c>
      <c r="C31" s="20" t="s">
        <v>892</v>
      </c>
      <c r="D31" s="212">
        <v>1</v>
      </c>
      <c r="E31" s="19" t="s">
        <v>144</v>
      </c>
      <c r="F31" s="19">
        <v>1</v>
      </c>
      <c r="G31" s="213" t="s">
        <v>398</v>
      </c>
      <c r="H31" s="216"/>
      <c r="I31" s="31"/>
      <c r="J31" s="48"/>
      <c r="K31" s="48">
        <f>'Dados Detalhados'!H401</f>
        <v>78101.305366506771</v>
      </c>
      <c r="L31" s="48"/>
      <c r="M31" s="78">
        <f t="shared" si="0"/>
        <v>78101.305366506771</v>
      </c>
      <c r="N31" s="78"/>
      <c r="O31" s="78"/>
      <c r="P31" s="78"/>
      <c r="Q31" s="78"/>
      <c r="R31" s="78">
        <f t="shared" si="4"/>
        <v>78101.305366506771</v>
      </c>
      <c r="S31" s="215"/>
      <c r="T31" s="78"/>
    </row>
    <row r="32" spans="1:20" ht="52.5" customHeight="1">
      <c r="A32" s="12">
        <v>27</v>
      </c>
      <c r="B32" s="10" t="s">
        <v>218</v>
      </c>
      <c r="C32" s="18" t="s">
        <v>217</v>
      </c>
      <c r="D32" s="6">
        <v>1</v>
      </c>
      <c r="E32" s="8" t="s">
        <v>144</v>
      </c>
      <c r="F32" s="8">
        <v>1</v>
      </c>
      <c r="G32" s="66" t="s">
        <v>398</v>
      </c>
      <c r="H32" s="5"/>
      <c r="I32" s="28" t="s">
        <v>184</v>
      </c>
      <c r="J32" s="224"/>
      <c r="K32" s="224">
        <f>'Dados Detalhados'!$L$403</f>
        <v>6306.48</v>
      </c>
      <c r="L32" s="224"/>
      <c r="M32" s="78">
        <f t="shared" si="0"/>
        <v>6306.48</v>
      </c>
      <c r="N32" s="78">
        <f t="shared" si="1"/>
        <v>6306.48</v>
      </c>
      <c r="O32" s="78"/>
      <c r="P32" s="78"/>
      <c r="Q32" s="78"/>
      <c r="R32" s="78"/>
      <c r="S32" s="78"/>
      <c r="T32" s="78"/>
    </row>
    <row r="33" spans="1:20" ht="52.5" customHeight="1">
      <c r="A33" s="12">
        <v>28</v>
      </c>
      <c r="B33" s="10" t="s">
        <v>215</v>
      </c>
      <c r="C33" s="18" t="s">
        <v>214</v>
      </c>
      <c r="D33" s="6">
        <v>1</v>
      </c>
      <c r="E33" s="8" t="s">
        <v>144</v>
      </c>
      <c r="F33" s="8">
        <v>1</v>
      </c>
      <c r="G33" s="66" t="s">
        <v>398</v>
      </c>
      <c r="H33" s="5"/>
      <c r="I33" s="28" t="s">
        <v>184</v>
      </c>
      <c r="J33" s="224"/>
      <c r="K33" s="224">
        <f>'Dados Detalhados'!$L$406</f>
        <v>8320</v>
      </c>
      <c r="L33" s="224"/>
      <c r="M33" s="78">
        <f t="shared" si="0"/>
        <v>8320</v>
      </c>
      <c r="N33" s="78">
        <f t="shared" si="1"/>
        <v>8320</v>
      </c>
      <c r="O33" s="78"/>
      <c r="P33" s="78"/>
      <c r="Q33" s="78"/>
      <c r="R33" s="78"/>
      <c r="S33" s="78"/>
      <c r="T33" s="78"/>
    </row>
    <row r="34" spans="1:20" ht="52.5" customHeight="1">
      <c r="A34" s="12">
        <v>29</v>
      </c>
      <c r="B34" s="10" t="s">
        <v>213</v>
      </c>
      <c r="C34" s="14" t="s">
        <v>212</v>
      </c>
      <c r="D34" s="6">
        <v>1</v>
      </c>
      <c r="E34" s="8" t="s">
        <v>144</v>
      </c>
      <c r="F34" s="8">
        <v>1</v>
      </c>
      <c r="G34" s="66" t="s">
        <v>398</v>
      </c>
      <c r="H34" s="5"/>
      <c r="I34" s="28" t="s">
        <v>184</v>
      </c>
      <c r="J34" s="224"/>
      <c r="K34" s="43">
        <v>0</v>
      </c>
      <c r="L34" s="43"/>
      <c r="M34" s="78">
        <f t="shared" si="0"/>
        <v>0</v>
      </c>
      <c r="N34" s="78">
        <f t="shared" si="1"/>
        <v>0</v>
      </c>
      <c r="O34" s="78"/>
      <c r="P34" s="78"/>
      <c r="Q34" s="78"/>
      <c r="R34" s="78"/>
      <c r="S34" s="78"/>
      <c r="T34" s="78"/>
    </row>
    <row r="35" spans="1:20" ht="58.5" customHeight="1">
      <c r="A35" s="12">
        <v>30</v>
      </c>
      <c r="B35" s="10" t="s">
        <v>211</v>
      </c>
      <c r="C35" s="14" t="s">
        <v>210</v>
      </c>
      <c r="D35" s="6">
        <v>1</v>
      </c>
      <c r="E35" s="8" t="s">
        <v>144</v>
      </c>
      <c r="F35" s="8">
        <v>1</v>
      </c>
      <c r="G35" s="66" t="s">
        <v>398</v>
      </c>
      <c r="H35" s="5"/>
      <c r="I35" s="28" t="s">
        <v>184</v>
      </c>
      <c r="J35" s="224"/>
      <c r="K35" s="43">
        <v>0</v>
      </c>
      <c r="L35" s="43"/>
      <c r="M35" s="78">
        <f t="shared" si="0"/>
        <v>0</v>
      </c>
      <c r="N35" s="78">
        <f t="shared" si="1"/>
        <v>0</v>
      </c>
      <c r="O35" s="78"/>
      <c r="P35" s="78"/>
      <c r="Q35" s="78"/>
      <c r="R35" s="78"/>
      <c r="S35" s="78"/>
      <c r="T35" s="78"/>
    </row>
    <row r="36" spans="1:20" ht="52.5" hidden="1" customHeight="1">
      <c r="A36" s="12">
        <v>31</v>
      </c>
      <c r="B36" s="14" t="s">
        <v>209</v>
      </c>
      <c r="C36" s="18" t="s">
        <v>208</v>
      </c>
      <c r="D36" s="6">
        <v>2</v>
      </c>
      <c r="E36" s="8" t="s">
        <v>144</v>
      </c>
      <c r="F36" s="8">
        <v>1</v>
      </c>
      <c r="G36" s="66" t="s">
        <v>398</v>
      </c>
      <c r="H36" s="5"/>
      <c r="I36" s="28" t="s">
        <v>184</v>
      </c>
      <c r="J36" s="42"/>
      <c r="K36" s="42">
        <f>'Dados Detalhados'!$L$417</f>
        <v>1284</v>
      </c>
      <c r="L36" s="42"/>
      <c r="M36" s="78">
        <f t="shared" si="0"/>
        <v>1284</v>
      </c>
      <c r="N36" s="78"/>
      <c r="O36" s="78"/>
      <c r="P36" s="78"/>
      <c r="Q36" s="78"/>
      <c r="R36" s="78"/>
      <c r="S36" s="78"/>
      <c r="T36" s="78">
        <f t="shared" si="3"/>
        <v>1284</v>
      </c>
    </row>
    <row r="37" spans="1:20" ht="52.5" customHeight="1">
      <c r="A37" s="12">
        <v>32</v>
      </c>
      <c r="B37" s="10" t="s">
        <v>207</v>
      </c>
      <c r="C37" s="14" t="s">
        <v>206</v>
      </c>
      <c r="D37" s="6">
        <v>1</v>
      </c>
      <c r="E37" s="8" t="s">
        <v>144</v>
      </c>
      <c r="F37" s="8">
        <v>1</v>
      </c>
      <c r="G37" s="66" t="s">
        <v>399</v>
      </c>
      <c r="H37" s="5"/>
      <c r="I37" s="28" t="s">
        <v>184</v>
      </c>
      <c r="J37" s="224"/>
      <c r="K37" s="43">
        <v>0</v>
      </c>
      <c r="L37" s="43"/>
      <c r="M37" s="78">
        <f t="shared" si="0"/>
        <v>0</v>
      </c>
      <c r="N37" s="78">
        <f>+M37</f>
        <v>0</v>
      </c>
      <c r="O37" s="78"/>
      <c r="P37" s="78"/>
      <c r="Q37" s="78"/>
      <c r="R37" s="78"/>
      <c r="S37" s="78"/>
      <c r="T37" s="78"/>
    </row>
    <row r="38" spans="1:20" ht="52.5" customHeight="1">
      <c r="A38" s="12">
        <v>33</v>
      </c>
      <c r="B38" s="10" t="s">
        <v>205</v>
      </c>
      <c r="C38" s="14" t="s">
        <v>204</v>
      </c>
      <c r="D38" s="6">
        <v>1</v>
      </c>
      <c r="E38" s="8" t="s">
        <v>144</v>
      </c>
      <c r="F38" s="8">
        <v>1</v>
      </c>
      <c r="G38" s="66" t="s">
        <v>399</v>
      </c>
      <c r="H38" s="5"/>
      <c r="I38" s="28" t="s">
        <v>184</v>
      </c>
      <c r="J38" s="224"/>
      <c r="K38" s="43"/>
      <c r="L38" s="43"/>
      <c r="M38" s="78">
        <f t="shared" si="0"/>
        <v>0</v>
      </c>
      <c r="N38" s="78">
        <f t="shared" si="1"/>
        <v>0</v>
      </c>
      <c r="O38" s="78"/>
      <c r="P38" s="78"/>
      <c r="Q38" s="78"/>
      <c r="R38" s="78"/>
      <c r="S38" s="78"/>
      <c r="T38" s="78"/>
    </row>
    <row r="39" spans="1:20" ht="52.5" customHeight="1">
      <c r="A39" s="12">
        <v>34</v>
      </c>
      <c r="B39" s="10" t="s">
        <v>203</v>
      </c>
      <c r="C39" s="14" t="s">
        <v>202</v>
      </c>
      <c r="D39" s="6">
        <v>1</v>
      </c>
      <c r="E39" s="8" t="s">
        <v>144</v>
      </c>
      <c r="F39" s="8">
        <v>1</v>
      </c>
      <c r="G39" s="66" t="s">
        <v>399</v>
      </c>
      <c r="H39" s="5"/>
      <c r="I39" s="28" t="s">
        <v>184</v>
      </c>
      <c r="J39" s="224"/>
      <c r="K39" s="43">
        <f>'Dados Detalhados'!$L$423</f>
        <v>700</v>
      </c>
      <c r="L39" s="43"/>
      <c r="M39" s="78">
        <f t="shared" si="0"/>
        <v>700</v>
      </c>
      <c r="N39" s="78">
        <f t="shared" si="1"/>
        <v>700</v>
      </c>
      <c r="O39" s="78"/>
      <c r="P39" s="78"/>
      <c r="Q39" s="78"/>
      <c r="R39" s="78"/>
      <c r="S39" s="78"/>
      <c r="T39" s="78"/>
    </row>
    <row r="40" spans="1:20" ht="67.5" hidden="1" customHeight="1">
      <c r="A40" s="12">
        <v>35</v>
      </c>
      <c r="B40" s="10" t="s">
        <v>200</v>
      </c>
      <c r="C40" s="14" t="s">
        <v>199</v>
      </c>
      <c r="D40" s="6">
        <v>2</v>
      </c>
      <c r="E40" s="8" t="s">
        <v>144</v>
      </c>
      <c r="F40" s="8">
        <v>1</v>
      </c>
      <c r="G40" s="66" t="s">
        <v>398</v>
      </c>
      <c r="H40" s="5"/>
      <c r="I40" s="28" t="s">
        <v>184</v>
      </c>
      <c r="J40" s="43"/>
      <c r="K40" s="43">
        <v>0</v>
      </c>
      <c r="L40" s="43"/>
      <c r="M40" s="78">
        <f t="shared" si="0"/>
        <v>0</v>
      </c>
      <c r="N40" s="78">
        <f t="shared" si="1"/>
        <v>0</v>
      </c>
      <c r="O40" s="78"/>
      <c r="P40" s="78"/>
      <c r="Q40" s="78"/>
      <c r="R40" s="78"/>
      <c r="S40" s="78"/>
      <c r="T40" s="78"/>
    </row>
    <row r="41" spans="1:20" ht="52.5" hidden="1" customHeight="1">
      <c r="A41" s="12">
        <v>36</v>
      </c>
      <c r="B41" s="10" t="s">
        <v>198</v>
      </c>
      <c r="C41" s="14" t="s">
        <v>197</v>
      </c>
      <c r="D41" s="6">
        <v>3</v>
      </c>
      <c r="E41" s="8" t="s">
        <v>144</v>
      </c>
      <c r="F41" s="8">
        <v>1</v>
      </c>
      <c r="G41" s="66" t="s">
        <v>397</v>
      </c>
      <c r="H41" s="5"/>
      <c r="I41" s="28" t="s">
        <v>184</v>
      </c>
      <c r="J41" s="43"/>
      <c r="K41" s="43">
        <v>0</v>
      </c>
      <c r="L41" s="43"/>
      <c r="M41" s="78">
        <f t="shared" si="0"/>
        <v>0</v>
      </c>
      <c r="N41" s="78"/>
      <c r="O41" s="78"/>
      <c r="P41" s="78"/>
      <c r="Q41" s="78"/>
      <c r="R41" s="78"/>
      <c r="S41" s="78"/>
      <c r="T41" s="78">
        <f t="shared" si="3"/>
        <v>0</v>
      </c>
    </row>
    <row r="42" spans="1:20" ht="52.5" customHeight="1">
      <c r="A42" s="12">
        <v>37</v>
      </c>
      <c r="B42" s="27" t="s">
        <v>196</v>
      </c>
      <c r="C42" s="14" t="s">
        <v>195</v>
      </c>
      <c r="D42" s="6">
        <v>1</v>
      </c>
      <c r="E42" s="8" t="s">
        <v>144</v>
      </c>
      <c r="F42" s="8">
        <v>1</v>
      </c>
      <c r="G42" s="66" t="s">
        <v>397</v>
      </c>
      <c r="H42" s="5" t="s">
        <v>328</v>
      </c>
      <c r="I42" s="28" t="s">
        <v>184</v>
      </c>
      <c r="J42" s="224"/>
      <c r="K42" s="224">
        <f>'Dados Detalhados'!$L$433</f>
        <v>2313.6899999999996</v>
      </c>
      <c r="L42" s="224"/>
      <c r="M42" s="78">
        <f t="shared" si="0"/>
        <v>2313.6899999999996</v>
      </c>
      <c r="N42" s="78">
        <f t="shared" si="1"/>
        <v>2313.6899999999996</v>
      </c>
      <c r="O42" s="78"/>
      <c r="P42" s="78"/>
      <c r="Q42" s="78"/>
      <c r="R42" s="78"/>
      <c r="S42" s="78"/>
      <c r="T42" s="78"/>
    </row>
    <row r="43" spans="1:20" ht="52.5" customHeight="1">
      <c r="A43" s="12">
        <v>38</v>
      </c>
      <c r="B43" s="10" t="s">
        <v>194</v>
      </c>
      <c r="C43" s="14" t="s">
        <v>193</v>
      </c>
      <c r="D43" s="6">
        <v>1</v>
      </c>
      <c r="E43" s="8" t="s">
        <v>144</v>
      </c>
      <c r="F43" s="8">
        <v>1</v>
      </c>
      <c r="G43" s="66" t="s">
        <v>398</v>
      </c>
      <c r="H43" s="5"/>
      <c r="I43" s="28" t="s">
        <v>184</v>
      </c>
      <c r="J43" s="224"/>
      <c r="K43" s="224">
        <f>'Dados Detalhados'!$L$450</f>
        <v>1713.6</v>
      </c>
      <c r="L43" s="224"/>
      <c r="M43" s="78">
        <f t="shared" si="0"/>
        <v>1713.6</v>
      </c>
      <c r="N43" s="78">
        <f t="shared" si="1"/>
        <v>1713.6</v>
      </c>
      <c r="O43" s="78"/>
      <c r="P43" s="78"/>
      <c r="Q43" s="78"/>
      <c r="R43" s="78"/>
      <c r="S43" s="78"/>
      <c r="T43" s="78"/>
    </row>
    <row r="44" spans="1:20" ht="52.5" customHeight="1">
      <c r="A44" s="12">
        <v>39</v>
      </c>
      <c r="B44" s="10" t="s">
        <v>192</v>
      </c>
      <c r="C44" s="14" t="s">
        <v>191</v>
      </c>
      <c r="D44" s="6">
        <v>1</v>
      </c>
      <c r="E44" s="8" t="s">
        <v>144</v>
      </c>
      <c r="F44" s="8">
        <v>1</v>
      </c>
      <c r="G44" s="66" t="s">
        <v>398</v>
      </c>
      <c r="H44" s="5"/>
      <c r="I44" s="28" t="s">
        <v>184</v>
      </c>
      <c r="J44" s="48"/>
      <c r="K44" s="48">
        <f>'Dados Detalhados'!$L$453</f>
        <v>400</v>
      </c>
      <c r="L44" s="48"/>
      <c r="M44" s="78">
        <f t="shared" si="0"/>
        <v>400</v>
      </c>
      <c r="N44" s="78"/>
      <c r="O44" s="78"/>
      <c r="P44" s="78"/>
      <c r="Q44" s="78"/>
      <c r="R44" s="78">
        <f t="shared" si="4"/>
        <v>400</v>
      </c>
      <c r="S44" s="78"/>
      <c r="T44" s="78"/>
    </row>
    <row r="45" spans="1:20" ht="52.5" customHeight="1">
      <c r="A45" s="12">
        <v>40</v>
      </c>
      <c r="B45" s="60" t="s">
        <v>190</v>
      </c>
      <c r="C45" s="60" t="s">
        <v>189</v>
      </c>
      <c r="D45" s="6">
        <v>1</v>
      </c>
      <c r="E45" s="8" t="s">
        <v>144</v>
      </c>
      <c r="F45" s="8">
        <v>1</v>
      </c>
      <c r="G45" s="66" t="s">
        <v>398</v>
      </c>
      <c r="H45" s="5"/>
      <c r="I45" s="28" t="s">
        <v>184</v>
      </c>
      <c r="J45" s="224"/>
      <c r="K45" s="43">
        <v>0</v>
      </c>
      <c r="L45" s="43"/>
      <c r="M45" s="78">
        <f t="shared" si="0"/>
        <v>0</v>
      </c>
      <c r="N45" s="78">
        <f t="shared" si="1"/>
        <v>0</v>
      </c>
      <c r="O45" s="78"/>
      <c r="P45" s="78"/>
      <c r="Q45" s="78"/>
      <c r="R45" s="78"/>
      <c r="S45" s="78"/>
      <c r="T45" s="78"/>
    </row>
    <row r="46" spans="1:20" ht="52.5" customHeight="1">
      <c r="A46" s="12">
        <v>41</v>
      </c>
      <c r="B46" s="60" t="s">
        <v>188</v>
      </c>
      <c r="C46" s="60" t="s">
        <v>187</v>
      </c>
      <c r="D46" s="6">
        <v>1</v>
      </c>
      <c r="E46" s="8" t="s">
        <v>144</v>
      </c>
      <c r="F46" s="8">
        <v>1</v>
      </c>
      <c r="G46" s="66" t="s">
        <v>398</v>
      </c>
      <c r="H46" s="5"/>
      <c r="I46" s="28" t="s">
        <v>184</v>
      </c>
      <c r="J46" s="224"/>
      <c r="K46" s="43">
        <v>0</v>
      </c>
      <c r="L46" s="43"/>
      <c r="M46" s="78">
        <f t="shared" si="0"/>
        <v>0</v>
      </c>
      <c r="N46" s="78">
        <f t="shared" si="1"/>
        <v>0</v>
      </c>
      <c r="O46" s="78"/>
      <c r="P46" s="78"/>
      <c r="Q46" s="78"/>
      <c r="R46" s="78"/>
      <c r="S46" s="78"/>
      <c r="T46" s="78"/>
    </row>
    <row r="47" spans="1:20" ht="52.5" hidden="1" customHeight="1">
      <c r="A47" s="12">
        <v>42</v>
      </c>
      <c r="B47" s="10" t="s">
        <v>186</v>
      </c>
      <c r="C47" s="14" t="s">
        <v>185</v>
      </c>
      <c r="D47" s="6">
        <v>3</v>
      </c>
      <c r="E47" s="8" t="s">
        <v>144</v>
      </c>
      <c r="F47" s="8">
        <v>1</v>
      </c>
      <c r="G47" s="66" t="s">
        <v>397</v>
      </c>
      <c r="H47" s="5"/>
      <c r="I47" s="28" t="s">
        <v>184</v>
      </c>
      <c r="J47" s="43"/>
      <c r="K47" s="43">
        <v>0</v>
      </c>
      <c r="L47" s="43"/>
      <c r="M47" s="78">
        <f t="shared" si="0"/>
        <v>0</v>
      </c>
      <c r="N47" s="78"/>
      <c r="O47" s="78"/>
      <c r="P47" s="78"/>
      <c r="Q47" s="78"/>
      <c r="R47" s="78"/>
      <c r="S47" s="78"/>
      <c r="T47" s="78">
        <f t="shared" si="3"/>
        <v>0</v>
      </c>
    </row>
    <row r="48" spans="1:20" s="156" customFormat="1" ht="52.5" customHeight="1">
      <c r="A48" s="150">
        <v>43</v>
      </c>
      <c r="B48" s="11" t="s">
        <v>183</v>
      </c>
      <c r="C48" s="11" t="s">
        <v>182</v>
      </c>
      <c r="D48" s="151">
        <v>1</v>
      </c>
      <c r="E48" s="33" t="s">
        <v>389</v>
      </c>
      <c r="F48" s="33">
        <v>2</v>
      </c>
      <c r="G48" s="66" t="s">
        <v>400</v>
      </c>
      <c r="H48" s="153" t="s">
        <v>327</v>
      </c>
      <c r="I48" s="50" t="s">
        <v>165</v>
      </c>
      <c r="J48" s="43"/>
      <c r="K48" s="43"/>
      <c r="L48" s="43"/>
      <c r="M48" s="78">
        <f t="shared" si="0"/>
        <v>0</v>
      </c>
      <c r="N48" s="78">
        <f t="shared" si="1"/>
        <v>0</v>
      </c>
      <c r="O48" s="78"/>
      <c r="P48" s="78"/>
      <c r="Q48" s="78"/>
      <c r="R48" s="78"/>
      <c r="S48" s="152"/>
      <c r="T48" s="78"/>
    </row>
    <row r="49" spans="1:20" ht="52.5" customHeight="1">
      <c r="A49" s="12">
        <v>44</v>
      </c>
      <c r="B49" s="10" t="s">
        <v>180</v>
      </c>
      <c r="C49" s="14" t="s">
        <v>181</v>
      </c>
      <c r="D49" s="6">
        <v>1</v>
      </c>
      <c r="E49" s="8" t="s">
        <v>389</v>
      </c>
      <c r="F49" s="8">
        <v>2</v>
      </c>
      <c r="G49" s="66" t="s">
        <v>400</v>
      </c>
      <c r="H49" s="5" t="s">
        <v>326</v>
      </c>
      <c r="I49" s="28" t="s">
        <v>165</v>
      </c>
      <c r="J49" s="43"/>
      <c r="K49" s="43">
        <v>0</v>
      </c>
      <c r="L49" s="43"/>
      <c r="M49" s="78">
        <f t="shared" si="0"/>
        <v>0</v>
      </c>
      <c r="N49" s="78">
        <f t="shared" si="1"/>
        <v>0</v>
      </c>
      <c r="O49" s="78"/>
      <c r="P49" s="78"/>
      <c r="Q49" s="78"/>
      <c r="R49" s="78"/>
      <c r="S49" s="78"/>
      <c r="T49" s="78"/>
    </row>
    <row r="50" spans="1:20" ht="52.5" customHeight="1">
      <c r="A50" s="12">
        <v>45</v>
      </c>
      <c r="B50" s="10" t="s">
        <v>179</v>
      </c>
      <c r="C50" s="14" t="s">
        <v>178</v>
      </c>
      <c r="D50" s="6">
        <v>1</v>
      </c>
      <c r="E50" s="8" t="s">
        <v>389</v>
      </c>
      <c r="F50" s="8">
        <v>2</v>
      </c>
      <c r="G50" s="66" t="s">
        <v>400</v>
      </c>
      <c r="H50" s="5"/>
      <c r="I50" s="28" t="s">
        <v>165</v>
      </c>
      <c r="J50" s="43"/>
      <c r="K50" s="224">
        <f>'Dados Detalhados'!$L$504</f>
        <v>3356.39</v>
      </c>
      <c r="L50" s="43"/>
      <c r="M50" s="78">
        <f t="shared" si="0"/>
        <v>3356.39</v>
      </c>
      <c r="N50" s="78">
        <f t="shared" si="1"/>
        <v>3356.39</v>
      </c>
      <c r="O50" s="78"/>
      <c r="P50" s="78"/>
      <c r="Q50" s="78"/>
      <c r="R50" s="78"/>
      <c r="S50" s="78"/>
      <c r="T50" s="78"/>
    </row>
    <row r="51" spans="1:20" ht="52.5" customHeight="1">
      <c r="A51" s="12">
        <v>46</v>
      </c>
      <c r="B51" s="10" t="s">
        <v>177</v>
      </c>
      <c r="C51" s="14" t="s">
        <v>176</v>
      </c>
      <c r="D51" s="6">
        <v>1</v>
      </c>
      <c r="E51" s="8" t="s">
        <v>389</v>
      </c>
      <c r="F51" s="8">
        <v>2</v>
      </c>
      <c r="G51" s="66" t="s">
        <v>400</v>
      </c>
      <c r="H51" s="5"/>
      <c r="I51" s="28" t="s">
        <v>165</v>
      </c>
      <c r="J51" s="42"/>
      <c r="K51" s="42">
        <f>'Dados Detalhados'!$L$514</f>
        <v>0</v>
      </c>
      <c r="L51" s="42"/>
      <c r="M51" s="78">
        <f t="shared" si="0"/>
        <v>0</v>
      </c>
      <c r="N51" s="78">
        <f t="shared" si="1"/>
        <v>0</v>
      </c>
      <c r="O51" s="78">
        <f t="shared" si="5"/>
        <v>0</v>
      </c>
      <c r="P51" s="78">
        <f t="shared" si="2"/>
        <v>0</v>
      </c>
      <c r="Q51" s="78">
        <f t="shared" si="6"/>
        <v>0</v>
      </c>
      <c r="R51" s="78">
        <f t="shared" si="4"/>
        <v>0</v>
      </c>
      <c r="S51" s="78"/>
      <c r="T51" s="78">
        <f t="shared" si="3"/>
        <v>0</v>
      </c>
    </row>
    <row r="52" spans="1:20" ht="52.5" hidden="1" customHeight="1">
      <c r="A52" s="12">
        <v>47</v>
      </c>
      <c r="B52" s="10" t="s">
        <v>175</v>
      </c>
      <c r="C52" s="14" t="s">
        <v>174</v>
      </c>
      <c r="D52" s="6">
        <v>2</v>
      </c>
      <c r="E52" s="8" t="s">
        <v>389</v>
      </c>
      <c r="F52" s="8">
        <v>2</v>
      </c>
      <c r="G52" s="66" t="s">
        <v>400</v>
      </c>
      <c r="H52" s="5" t="s">
        <v>325</v>
      </c>
      <c r="I52" s="28" t="s">
        <v>165</v>
      </c>
      <c r="J52" s="43"/>
      <c r="K52" s="43">
        <v>0</v>
      </c>
      <c r="L52" s="43"/>
      <c r="M52" s="78">
        <f t="shared" si="0"/>
        <v>0</v>
      </c>
      <c r="N52" s="78"/>
      <c r="O52" s="78"/>
      <c r="P52" s="78">
        <f t="shared" si="2"/>
        <v>0</v>
      </c>
      <c r="Q52" s="78"/>
      <c r="R52" s="78"/>
      <c r="S52" s="78"/>
      <c r="T52" s="78"/>
    </row>
    <row r="53" spans="1:20" ht="52.5" hidden="1" customHeight="1">
      <c r="A53" s="12">
        <v>48</v>
      </c>
      <c r="B53" s="10" t="s">
        <v>173</v>
      </c>
      <c r="C53" s="14" t="s">
        <v>172</v>
      </c>
      <c r="D53" s="6">
        <v>3</v>
      </c>
      <c r="E53" s="8" t="s">
        <v>389</v>
      </c>
      <c r="F53" s="8">
        <v>2</v>
      </c>
      <c r="G53" s="66" t="s">
        <v>400</v>
      </c>
      <c r="H53" s="5" t="s">
        <v>324</v>
      </c>
      <c r="I53" s="28" t="s">
        <v>165</v>
      </c>
      <c r="J53" s="224"/>
      <c r="K53" s="224">
        <f>'Dados Detalhados'!$L$520</f>
        <v>1593.33</v>
      </c>
      <c r="L53" s="224"/>
      <c r="M53" s="78">
        <f t="shared" si="0"/>
        <v>1593.33</v>
      </c>
      <c r="N53" s="78">
        <f t="shared" si="1"/>
        <v>1593.33</v>
      </c>
      <c r="O53" s="78"/>
      <c r="P53" s="78"/>
      <c r="Q53" s="78"/>
      <c r="R53" s="78"/>
      <c r="S53" s="78"/>
      <c r="T53" s="78"/>
    </row>
    <row r="54" spans="1:20" ht="52.5" customHeight="1">
      <c r="A54" s="12">
        <v>49</v>
      </c>
      <c r="B54" s="10" t="s">
        <v>171</v>
      </c>
      <c r="C54" s="14" t="s">
        <v>170</v>
      </c>
      <c r="D54" s="6">
        <v>1</v>
      </c>
      <c r="E54" s="8" t="s">
        <v>389</v>
      </c>
      <c r="F54" s="8">
        <v>2</v>
      </c>
      <c r="G54" s="66" t="s">
        <v>400</v>
      </c>
      <c r="H54" s="5" t="s">
        <v>323</v>
      </c>
      <c r="I54" s="28" t="s">
        <v>165</v>
      </c>
      <c r="J54" s="43"/>
      <c r="K54" s="224">
        <f>'Dados Detalhados'!$L$527</f>
        <v>20261.940000000002</v>
      </c>
      <c r="L54" s="43"/>
      <c r="M54" s="78">
        <f t="shared" si="0"/>
        <v>20261.940000000002</v>
      </c>
      <c r="N54" s="78">
        <f t="shared" si="1"/>
        <v>20261.940000000002</v>
      </c>
      <c r="O54" s="78"/>
      <c r="P54" s="78"/>
      <c r="Q54" s="78"/>
      <c r="R54" s="78"/>
      <c r="S54" s="78"/>
      <c r="T54" s="78"/>
    </row>
    <row r="55" spans="1:20" ht="52.5" hidden="1" customHeight="1">
      <c r="A55" s="12">
        <v>50</v>
      </c>
      <c r="B55" s="10" t="s">
        <v>169</v>
      </c>
      <c r="C55" s="14" t="s">
        <v>168</v>
      </c>
      <c r="D55" s="6">
        <v>3</v>
      </c>
      <c r="E55" s="8" t="s">
        <v>389</v>
      </c>
      <c r="F55" s="8">
        <v>2</v>
      </c>
      <c r="G55" s="66" t="s">
        <v>400</v>
      </c>
      <c r="H55" s="5" t="s">
        <v>322</v>
      </c>
      <c r="I55" s="28" t="s">
        <v>165</v>
      </c>
      <c r="J55" s="224"/>
      <c r="K55" s="47"/>
      <c r="L55" s="47"/>
      <c r="M55" s="78">
        <f t="shared" si="0"/>
        <v>0</v>
      </c>
      <c r="N55" s="78">
        <f t="shared" si="1"/>
        <v>0</v>
      </c>
      <c r="O55" s="78"/>
      <c r="P55" s="78"/>
      <c r="Q55" s="78"/>
      <c r="R55" s="78"/>
      <c r="S55" s="78"/>
      <c r="T55" s="78"/>
    </row>
    <row r="56" spans="1:20" ht="52.5" hidden="1" customHeight="1">
      <c r="A56" s="12">
        <v>51</v>
      </c>
      <c r="B56" s="10" t="s">
        <v>167</v>
      </c>
      <c r="C56" s="14" t="s">
        <v>166</v>
      </c>
      <c r="D56" s="6">
        <v>3</v>
      </c>
      <c r="E56" s="8" t="s">
        <v>389</v>
      </c>
      <c r="F56" s="8">
        <v>2</v>
      </c>
      <c r="G56" s="66" t="s">
        <v>400</v>
      </c>
      <c r="H56" s="5" t="s">
        <v>321</v>
      </c>
      <c r="I56" s="28" t="s">
        <v>165</v>
      </c>
      <c r="J56" s="224"/>
      <c r="K56" s="224">
        <f>'Dados Detalhados'!$L$551</f>
        <v>374.67</v>
      </c>
      <c r="L56" s="224"/>
      <c r="M56" s="78">
        <f t="shared" si="0"/>
        <v>374.67</v>
      </c>
      <c r="N56" s="78">
        <f t="shared" si="1"/>
        <v>374.67</v>
      </c>
      <c r="O56" s="78"/>
      <c r="P56" s="78"/>
      <c r="Q56" s="78"/>
      <c r="R56" s="78"/>
      <c r="S56" s="78"/>
      <c r="T56" s="78"/>
    </row>
    <row r="57" spans="1:20" ht="52.5" customHeight="1">
      <c r="A57" s="12">
        <v>52</v>
      </c>
      <c r="B57" s="10" t="s">
        <v>164</v>
      </c>
      <c r="C57" s="14" t="s">
        <v>163</v>
      </c>
      <c r="D57" s="6">
        <v>1</v>
      </c>
      <c r="E57" s="8" t="s">
        <v>390</v>
      </c>
      <c r="F57" s="8">
        <v>3</v>
      </c>
      <c r="G57" s="66" t="s">
        <v>403</v>
      </c>
      <c r="H57" s="5" t="s">
        <v>320</v>
      </c>
      <c r="I57" s="28" t="s">
        <v>143</v>
      </c>
      <c r="J57" s="224"/>
      <c r="K57" s="224">
        <f>'Dados Detalhados'!$L$556</f>
        <v>3722.2200000000003</v>
      </c>
      <c r="L57" s="224"/>
      <c r="M57" s="78">
        <f t="shared" si="0"/>
        <v>3722.2200000000003</v>
      </c>
      <c r="N57" s="78">
        <f t="shared" si="1"/>
        <v>3722.2200000000003</v>
      </c>
      <c r="O57" s="78"/>
      <c r="P57" s="78"/>
      <c r="Q57" s="78"/>
      <c r="R57" s="78"/>
      <c r="S57" s="78"/>
      <c r="T57" s="78"/>
    </row>
    <row r="58" spans="1:20" ht="52.5" customHeight="1">
      <c r="A58" s="12">
        <v>53</v>
      </c>
      <c r="B58" s="10" t="s">
        <v>162</v>
      </c>
      <c r="C58" s="14" t="s">
        <v>161</v>
      </c>
      <c r="D58" s="6">
        <v>1</v>
      </c>
      <c r="E58" s="8" t="s">
        <v>390</v>
      </c>
      <c r="F58" s="8">
        <v>3</v>
      </c>
      <c r="G58" s="66" t="s">
        <v>403</v>
      </c>
      <c r="H58" s="5" t="s">
        <v>319</v>
      </c>
      <c r="I58" s="28" t="s">
        <v>143</v>
      </c>
      <c r="J58" s="224"/>
      <c r="K58" s="224">
        <f>'Dados Detalhados'!$L$560</f>
        <v>3722.2200000000003</v>
      </c>
      <c r="L58" s="224"/>
      <c r="M58" s="78">
        <f t="shared" si="0"/>
        <v>3722.2200000000003</v>
      </c>
      <c r="N58" s="78">
        <f t="shared" si="1"/>
        <v>3722.2200000000003</v>
      </c>
      <c r="O58" s="78"/>
      <c r="P58" s="78"/>
      <c r="Q58" s="78"/>
      <c r="R58" s="78"/>
      <c r="S58" s="78"/>
      <c r="T58" s="78"/>
    </row>
    <row r="59" spans="1:20" ht="52.5" hidden="1" customHeight="1">
      <c r="A59" s="12">
        <v>54</v>
      </c>
      <c r="B59" s="10" t="s">
        <v>160</v>
      </c>
      <c r="C59" s="14" t="s">
        <v>867</v>
      </c>
      <c r="D59" s="6">
        <v>2</v>
      </c>
      <c r="E59" s="8" t="s">
        <v>389</v>
      </c>
      <c r="F59" s="8">
        <v>2</v>
      </c>
      <c r="G59" s="21" t="s">
        <v>866</v>
      </c>
      <c r="H59" s="5" t="s">
        <v>318</v>
      </c>
      <c r="I59" s="28" t="s">
        <v>143</v>
      </c>
      <c r="J59" s="47"/>
      <c r="K59" s="224">
        <f>'Dados Detalhados'!$L$564</f>
        <v>22000</v>
      </c>
      <c r="L59" s="43"/>
      <c r="M59" s="78">
        <f t="shared" si="0"/>
        <v>22000</v>
      </c>
      <c r="N59" s="78">
        <f t="shared" si="1"/>
        <v>22000</v>
      </c>
      <c r="O59" s="78"/>
      <c r="P59" s="78"/>
      <c r="Q59" s="78"/>
      <c r="R59" s="78"/>
      <c r="S59" s="78"/>
      <c r="T59" s="78"/>
    </row>
    <row r="60" spans="1:20" ht="52.5" customHeight="1">
      <c r="A60" s="12" t="s">
        <v>870</v>
      </c>
      <c r="B60" s="10" t="s">
        <v>868</v>
      </c>
      <c r="C60" s="14" t="s">
        <v>871</v>
      </c>
      <c r="D60" s="6">
        <v>1</v>
      </c>
      <c r="E60" s="8" t="s">
        <v>389</v>
      </c>
      <c r="F60" s="8">
        <v>2</v>
      </c>
      <c r="G60" s="21" t="s">
        <v>866</v>
      </c>
      <c r="H60" s="5"/>
      <c r="I60" s="28"/>
      <c r="J60" s="224"/>
      <c r="K60" s="43"/>
      <c r="L60" s="43"/>
      <c r="M60" s="78">
        <f t="shared" si="0"/>
        <v>0</v>
      </c>
      <c r="N60" s="78">
        <f t="shared" si="1"/>
        <v>0</v>
      </c>
      <c r="O60" s="78"/>
      <c r="P60" s="78"/>
      <c r="Q60" s="78"/>
      <c r="R60" s="78"/>
      <c r="S60" s="78"/>
      <c r="T60" s="78"/>
    </row>
    <row r="61" spans="1:20" ht="52.5" customHeight="1">
      <c r="A61" s="12">
        <v>54.2</v>
      </c>
      <c r="B61" s="10" t="s">
        <v>869</v>
      </c>
      <c r="C61" s="14" t="s">
        <v>872</v>
      </c>
      <c r="D61" s="6">
        <v>1</v>
      </c>
      <c r="E61" s="8" t="s">
        <v>389</v>
      </c>
      <c r="F61" s="8">
        <v>2</v>
      </c>
      <c r="G61" s="21" t="s">
        <v>866</v>
      </c>
      <c r="H61" s="5"/>
      <c r="I61" s="28"/>
      <c r="J61" s="43"/>
      <c r="K61" s="224">
        <f>'Dados Detalhados'!$L$571</f>
        <v>11000</v>
      </c>
      <c r="L61" s="43"/>
      <c r="M61" s="78">
        <f t="shared" si="0"/>
        <v>11000</v>
      </c>
      <c r="N61" s="78">
        <f t="shared" si="1"/>
        <v>11000</v>
      </c>
      <c r="O61" s="78"/>
      <c r="P61" s="78"/>
      <c r="Q61" s="78"/>
      <c r="R61" s="78"/>
      <c r="S61" s="78"/>
      <c r="T61" s="78"/>
    </row>
    <row r="62" spans="1:20" ht="52.5" hidden="1" customHeight="1">
      <c r="A62" s="12">
        <v>55</v>
      </c>
      <c r="B62" s="10" t="s">
        <v>158</v>
      </c>
      <c r="C62" s="14" t="s">
        <v>157</v>
      </c>
      <c r="D62" s="6">
        <v>2</v>
      </c>
      <c r="E62" s="8" t="s">
        <v>144</v>
      </c>
      <c r="F62" s="8">
        <v>1</v>
      </c>
      <c r="G62" s="66" t="s">
        <v>397</v>
      </c>
      <c r="H62" s="5" t="s">
        <v>317</v>
      </c>
      <c r="I62" s="28" t="s">
        <v>143</v>
      </c>
      <c r="J62" s="48"/>
      <c r="K62" s="48">
        <f>'Dados Detalhados'!$L$574</f>
        <v>92.829999999999984</v>
      </c>
      <c r="L62" s="48"/>
      <c r="M62" s="78">
        <f t="shared" si="0"/>
        <v>92.829999999999984</v>
      </c>
      <c r="N62" s="78"/>
      <c r="O62" s="78"/>
      <c r="P62" s="78"/>
      <c r="Q62" s="78"/>
      <c r="R62" s="78">
        <f t="shared" si="4"/>
        <v>92.829999999999984</v>
      </c>
      <c r="S62" s="78"/>
      <c r="T62" s="78"/>
    </row>
    <row r="63" spans="1:20" ht="58.5" customHeight="1">
      <c r="A63" s="12">
        <v>56</v>
      </c>
      <c r="B63" s="10" t="s">
        <v>155</v>
      </c>
      <c r="C63" s="14" t="s">
        <v>156</v>
      </c>
      <c r="D63" s="6">
        <v>1</v>
      </c>
      <c r="E63" s="8" t="s">
        <v>390</v>
      </c>
      <c r="F63" s="8">
        <v>3</v>
      </c>
      <c r="G63" s="66" t="s">
        <v>404</v>
      </c>
      <c r="H63" s="5" t="s">
        <v>316</v>
      </c>
      <c r="I63" s="28" t="s">
        <v>143</v>
      </c>
      <c r="J63" s="43"/>
      <c r="K63" s="43">
        <v>0</v>
      </c>
      <c r="L63" s="43"/>
      <c r="M63" s="78">
        <f t="shared" si="0"/>
        <v>0</v>
      </c>
      <c r="N63" s="78">
        <f t="shared" si="1"/>
        <v>0</v>
      </c>
      <c r="O63" s="78"/>
      <c r="P63" s="78"/>
      <c r="Q63" s="78"/>
      <c r="R63" s="78"/>
      <c r="S63" s="78"/>
      <c r="T63" s="78"/>
    </row>
    <row r="64" spans="1:20" ht="52.5" hidden="1" customHeight="1">
      <c r="A64" s="12">
        <v>57</v>
      </c>
      <c r="B64" s="10" t="s">
        <v>154</v>
      </c>
      <c r="C64" s="14" t="s">
        <v>153</v>
      </c>
      <c r="D64" s="6">
        <v>2</v>
      </c>
      <c r="E64" s="8" t="s">
        <v>390</v>
      </c>
      <c r="F64" s="8">
        <v>3</v>
      </c>
      <c r="G64" s="66" t="s">
        <v>404</v>
      </c>
      <c r="H64" s="5"/>
      <c r="I64" s="28" t="s">
        <v>143</v>
      </c>
      <c r="J64" s="43"/>
      <c r="K64" s="43">
        <v>0</v>
      </c>
      <c r="L64" s="43"/>
      <c r="M64" s="78">
        <f t="shared" si="0"/>
        <v>0</v>
      </c>
      <c r="N64" s="78"/>
      <c r="O64" s="78"/>
      <c r="P64" s="78"/>
      <c r="Q64" s="78"/>
      <c r="R64" s="78"/>
      <c r="S64" s="78"/>
      <c r="T64" s="78">
        <f t="shared" si="3"/>
        <v>0</v>
      </c>
    </row>
    <row r="65" spans="1:20" ht="52.5" customHeight="1">
      <c r="A65" s="12">
        <v>58</v>
      </c>
      <c r="B65" s="10" t="s">
        <v>152</v>
      </c>
      <c r="C65" s="14" t="s">
        <v>151</v>
      </c>
      <c r="D65" s="6">
        <v>1</v>
      </c>
      <c r="E65" s="8" t="s">
        <v>390</v>
      </c>
      <c r="F65" s="8">
        <v>3</v>
      </c>
      <c r="G65" s="66" t="s">
        <v>403</v>
      </c>
      <c r="H65" s="5" t="s">
        <v>315</v>
      </c>
      <c r="I65" s="28" t="s">
        <v>143</v>
      </c>
      <c r="J65" s="224"/>
      <c r="K65" s="224">
        <f>'Dados Detalhados'!$L$609</f>
        <v>18499.990000000002</v>
      </c>
      <c r="L65" s="224"/>
      <c r="M65" s="78">
        <f t="shared" si="0"/>
        <v>18499.990000000002</v>
      </c>
      <c r="N65" s="78">
        <f t="shared" si="1"/>
        <v>18499.990000000002</v>
      </c>
      <c r="O65" s="78"/>
      <c r="P65" s="78"/>
      <c r="Q65" s="78"/>
      <c r="R65" s="78"/>
      <c r="S65" s="78"/>
      <c r="T65" s="78"/>
    </row>
    <row r="66" spans="1:20" ht="52.5" hidden="1" customHeight="1">
      <c r="A66" s="12">
        <v>59</v>
      </c>
      <c r="B66" s="10" t="s">
        <v>150</v>
      </c>
      <c r="C66" s="14" t="s">
        <v>149</v>
      </c>
      <c r="D66" s="6">
        <v>2</v>
      </c>
      <c r="E66" s="8" t="s">
        <v>390</v>
      </c>
      <c r="F66" s="8">
        <v>3</v>
      </c>
      <c r="G66" s="66" t="s">
        <v>403</v>
      </c>
      <c r="H66" s="5" t="s">
        <v>314</v>
      </c>
      <c r="I66" s="28" t="s">
        <v>143</v>
      </c>
      <c r="J66" s="224"/>
      <c r="K66" s="224">
        <f>'Dados Detalhados'!$L$623</f>
        <v>11333.33</v>
      </c>
      <c r="L66" s="224"/>
      <c r="M66" s="78">
        <f t="shared" si="0"/>
        <v>11333.33</v>
      </c>
      <c r="N66" s="78">
        <f t="shared" si="1"/>
        <v>11333.33</v>
      </c>
      <c r="O66" s="78"/>
      <c r="P66" s="78"/>
      <c r="Q66" s="78"/>
      <c r="R66" s="78"/>
      <c r="S66" s="78"/>
      <c r="T66" s="78"/>
    </row>
    <row r="67" spans="1:20" ht="52.5" hidden="1" customHeight="1">
      <c r="A67" s="12">
        <v>60</v>
      </c>
      <c r="B67" s="10" t="s">
        <v>148</v>
      </c>
      <c r="C67" s="14" t="s">
        <v>147</v>
      </c>
      <c r="D67" s="6">
        <v>2</v>
      </c>
      <c r="E67" s="8" t="s">
        <v>390</v>
      </c>
      <c r="F67" s="8">
        <v>3</v>
      </c>
      <c r="G67" s="66" t="s">
        <v>403</v>
      </c>
      <c r="H67" s="5"/>
      <c r="I67" s="28" t="s">
        <v>143</v>
      </c>
      <c r="J67" s="43"/>
      <c r="K67" s="43">
        <v>0</v>
      </c>
      <c r="L67" s="43"/>
      <c r="M67" s="78">
        <f t="shared" si="0"/>
        <v>0</v>
      </c>
      <c r="N67" s="78">
        <f t="shared" si="1"/>
        <v>0</v>
      </c>
      <c r="O67" s="78"/>
      <c r="P67" s="78"/>
      <c r="Q67" s="78"/>
      <c r="R67" s="78"/>
      <c r="S67" s="78"/>
      <c r="T67" s="78"/>
    </row>
    <row r="68" spans="1:20" ht="52.5" hidden="1" customHeight="1">
      <c r="A68" s="12">
        <v>61</v>
      </c>
      <c r="B68" s="10" t="s">
        <v>146</v>
      </c>
      <c r="C68" s="14" t="s">
        <v>145</v>
      </c>
      <c r="D68" s="6">
        <v>2</v>
      </c>
      <c r="E68" s="8" t="s">
        <v>390</v>
      </c>
      <c r="F68" s="8">
        <v>3</v>
      </c>
      <c r="G68" s="66" t="s">
        <v>403</v>
      </c>
      <c r="H68" s="5"/>
      <c r="I68" s="28" t="s">
        <v>143</v>
      </c>
      <c r="J68" s="43"/>
      <c r="K68" s="43">
        <f>'Dados Detalhados'!$L$642</f>
        <v>5187.92</v>
      </c>
      <c r="L68" s="43"/>
      <c r="M68" s="78">
        <f t="shared" si="0"/>
        <v>5187.92</v>
      </c>
      <c r="N68" s="78"/>
      <c r="O68" s="78"/>
      <c r="P68" s="78"/>
      <c r="Q68" s="78"/>
      <c r="R68" s="78"/>
      <c r="S68" s="78"/>
      <c r="T68" s="78">
        <f t="shared" si="3"/>
        <v>5187.92</v>
      </c>
    </row>
    <row r="69" spans="1:20" ht="52.5" hidden="1" customHeight="1">
      <c r="A69" s="12">
        <v>62</v>
      </c>
      <c r="B69" s="10" t="s">
        <v>142</v>
      </c>
      <c r="C69" s="11" t="s">
        <v>141</v>
      </c>
      <c r="D69" s="16">
        <v>3</v>
      </c>
      <c r="E69" s="19" t="s">
        <v>390</v>
      </c>
      <c r="F69" s="19">
        <v>3</v>
      </c>
      <c r="G69" s="66" t="s">
        <v>401</v>
      </c>
      <c r="H69" s="5" t="s">
        <v>313</v>
      </c>
      <c r="I69" s="31" t="s">
        <v>107</v>
      </c>
      <c r="J69" s="45"/>
      <c r="K69" s="43">
        <v>0</v>
      </c>
      <c r="L69" s="43"/>
      <c r="M69" s="78">
        <f t="shared" si="0"/>
        <v>0</v>
      </c>
      <c r="N69" s="78">
        <f t="shared" si="1"/>
        <v>0</v>
      </c>
      <c r="O69" s="78"/>
      <c r="P69" s="78"/>
      <c r="Q69" s="78"/>
      <c r="R69" s="78"/>
      <c r="S69" s="78"/>
      <c r="T69" s="78"/>
    </row>
    <row r="70" spans="1:20" ht="52.5" customHeight="1">
      <c r="A70" s="12">
        <v>63</v>
      </c>
      <c r="B70" s="10" t="s">
        <v>140</v>
      </c>
      <c r="C70" s="14" t="s">
        <v>139</v>
      </c>
      <c r="D70" s="16">
        <v>1</v>
      </c>
      <c r="E70" s="8" t="s">
        <v>390</v>
      </c>
      <c r="F70" s="19">
        <v>3</v>
      </c>
      <c r="G70" s="66" t="s">
        <v>401</v>
      </c>
      <c r="H70" s="5" t="s">
        <v>312</v>
      </c>
      <c r="I70" s="28" t="s">
        <v>107</v>
      </c>
      <c r="J70" s="224"/>
      <c r="K70" s="43">
        <f>'Dados Detalhados'!$L$664</f>
        <v>0</v>
      </c>
      <c r="L70" s="224"/>
      <c r="M70" s="78">
        <f t="shared" ref="M70:M133" si="7">+J70+K70+L70</f>
        <v>0</v>
      </c>
      <c r="N70" s="78">
        <f t="shared" si="1"/>
        <v>0</v>
      </c>
      <c r="O70" s="78"/>
      <c r="P70" s="78"/>
      <c r="Q70" s="78"/>
      <c r="R70" s="78"/>
      <c r="S70" s="78"/>
      <c r="T70" s="78"/>
    </row>
    <row r="71" spans="1:20" ht="52.5" customHeight="1">
      <c r="A71" s="12">
        <v>64</v>
      </c>
      <c r="B71" s="10" t="s">
        <v>138</v>
      </c>
      <c r="C71" s="14" t="s">
        <v>335</v>
      </c>
      <c r="D71" s="16">
        <v>1</v>
      </c>
      <c r="E71" s="8" t="s">
        <v>390</v>
      </c>
      <c r="F71" s="19">
        <v>3</v>
      </c>
      <c r="G71" s="66" t="s">
        <v>401</v>
      </c>
      <c r="H71" s="5" t="s">
        <v>311</v>
      </c>
      <c r="I71" s="28" t="s">
        <v>107</v>
      </c>
      <c r="J71" s="224"/>
      <c r="K71" s="224">
        <f>'Dados Detalhados'!$L$666</f>
        <v>18372</v>
      </c>
      <c r="L71" s="224"/>
      <c r="M71" s="78">
        <f t="shared" si="7"/>
        <v>18372</v>
      </c>
      <c r="N71" s="78">
        <f t="shared" si="1"/>
        <v>18372</v>
      </c>
      <c r="O71" s="78"/>
      <c r="P71" s="78"/>
      <c r="Q71" s="78"/>
      <c r="R71" s="78"/>
      <c r="S71" s="78"/>
      <c r="T71" s="78"/>
    </row>
    <row r="72" spans="1:20" ht="52.5" customHeight="1">
      <c r="A72" s="12">
        <v>65</v>
      </c>
      <c r="B72" s="20" t="s">
        <v>137</v>
      </c>
      <c r="C72" s="20" t="s">
        <v>136</v>
      </c>
      <c r="D72" s="16">
        <v>1</v>
      </c>
      <c r="E72" s="19" t="s">
        <v>390</v>
      </c>
      <c r="F72" s="19">
        <v>3</v>
      </c>
      <c r="G72" s="66" t="s">
        <v>401</v>
      </c>
      <c r="H72" s="7" t="s">
        <v>310</v>
      </c>
      <c r="I72" s="31" t="s">
        <v>107</v>
      </c>
      <c r="J72" s="229"/>
      <c r="K72" s="229">
        <f>'Dados Detalhados'!$L$668</f>
        <v>5701.36</v>
      </c>
      <c r="L72" s="229"/>
      <c r="M72" s="78">
        <f t="shared" si="7"/>
        <v>5701.36</v>
      </c>
      <c r="N72" s="78">
        <f t="shared" ref="N72:N134" si="8">+M72</f>
        <v>5701.36</v>
      </c>
      <c r="O72" s="78"/>
      <c r="P72" s="78"/>
      <c r="Q72" s="78"/>
      <c r="R72" s="78"/>
      <c r="S72" s="78"/>
      <c r="T72" s="78"/>
    </row>
    <row r="73" spans="1:20" ht="52.5" customHeight="1">
      <c r="A73" s="12">
        <v>66</v>
      </c>
      <c r="B73" s="1" t="s">
        <v>135</v>
      </c>
      <c r="C73" s="20" t="s">
        <v>134</v>
      </c>
      <c r="D73" s="16">
        <v>1</v>
      </c>
      <c r="E73" s="19" t="s">
        <v>390</v>
      </c>
      <c r="F73" s="19">
        <v>3</v>
      </c>
      <c r="G73" s="66" t="s">
        <v>401</v>
      </c>
      <c r="H73" s="7"/>
      <c r="I73" s="31" t="s">
        <v>107</v>
      </c>
      <c r="J73" s="229"/>
      <c r="K73" s="229">
        <f>'Dados Detalhados'!$L$671</f>
        <v>7701.97</v>
      </c>
      <c r="L73" s="229"/>
      <c r="M73" s="78">
        <f t="shared" si="7"/>
        <v>7701.97</v>
      </c>
      <c r="N73" s="78">
        <f t="shared" si="8"/>
        <v>7701.97</v>
      </c>
      <c r="O73" s="78"/>
      <c r="P73" s="78"/>
      <c r="Q73" s="78"/>
      <c r="R73" s="78"/>
      <c r="S73" s="78"/>
      <c r="T73" s="78"/>
    </row>
    <row r="74" spans="1:20" ht="52.5" customHeight="1">
      <c r="A74" s="12">
        <v>67</v>
      </c>
      <c r="B74" s="10" t="s">
        <v>132</v>
      </c>
      <c r="C74" s="14" t="s">
        <v>131</v>
      </c>
      <c r="D74" s="16">
        <v>1</v>
      </c>
      <c r="E74" s="8" t="s">
        <v>390</v>
      </c>
      <c r="F74" s="19">
        <v>3</v>
      </c>
      <c r="G74" s="66" t="s">
        <v>401</v>
      </c>
      <c r="H74" s="9" t="s">
        <v>309</v>
      </c>
      <c r="I74" s="28" t="s">
        <v>107</v>
      </c>
      <c r="J74" s="224"/>
      <c r="K74" s="224">
        <f>'Dados Detalhados'!$L$673</f>
        <v>7592.33</v>
      </c>
      <c r="L74" s="224"/>
      <c r="M74" s="78">
        <f t="shared" si="7"/>
        <v>7592.33</v>
      </c>
      <c r="N74" s="78">
        <f t="shared" si="8"/>
        <v>7592.33</v>
      </c>
      <c r="O74" s="78"/>
      <c r="P74" s="78"/>
      <c r="Q74" s="78"/>
      <c r="R74" s="78"/>
      <c r="S74" s="78"/>
      <c r="T74" s="78"/>
    </row>
    <row r="75" spans="1:20" ht="52.5" hidden="1" customHeight="1">
      <c r="A75" s="12">
        <v>68</v>
      </c>
      <c r="B75" s="10" t="s">
        <v>130</v>
      </c>
      <c r="C75" s="14" t="s">
        <v>129</v>
      </c>
      <c r="D75" s="16">
        <v>2</v>
      </c>
      <c r="E75" s="8" t="s">
        <v>390</v>
      </c>
      <c r="F75" s="19">
        <v>3</v>
      </c>
      <c r="G75" s="66" t="s">
        <v>401</v>
      </c>
      <c r="H75" s="29" t="s">
        <v>308</v>
      </c>
      <c r="I75" s="28" t="s">
        <v>107</v>
      </c>
      <c r="J75" s="43"/>
      <c r="K75" s="43">
        <v>0</v>
      </c>
      <c r="L75" s="43"/>
      <c r="M75" s="78">
        <f t="shared" si="7"/>
        <v>0</v>
      </c>
      <c r="N75" s="78"/>
      <c r="O75" s="78"/>
      <c r="P75" s="78"/>
      <c r="Q75" s="78"/>
      <c r="R75" s="78"/>
      <c r="S75" s="78"/>
      <c r="T75" s="78">
        <f t="shared" si="3"/>
        <v>0</v>
      </c>
    </row>
    <row r="76" spans="1:20" ht="52.5" hidden="1" customHeight="1">
      <c r="A76" s="12">
        <v>69</v>
      </c>
      <c r="B76" s="10" t="s">
        <v>127</v>
      </c>
      <c r="C76" s="14" t="s">
        <v>126</v>
      </c>
      <c r="D76" s="16">
        <v>2</v>
      </c>
      <c r="E76" s="8" t="s">
        <v>390</v>
      </c>
      <c r="F76" s="19">
        <v>3</v>
      </c>
      <c r="G76" s="66" t="s">
        <v>401</v>
      </c>
      <c r="H76" s="29" t="s">
        <v>308</v>
      </c>
      <c r="I76" s="28" t="s">
        <v>107</v>
      </c>
      <c r="J76" s="43"/>
      <c r="K76" s="43">
        <f>'Dados Detalhados'!$L$692</f>
        <v>7622.22</v>
      </c>
      <c r="L76" s="43"/>
      <c r="M76" s="78">
        <f t="shared" si="7"/>
        <v>7622.22</v>
      </c>
      <c r="N76" s="78"/>
      <c r="O76" s="78"/>
      <c r="P76" s="78"/>
      <c r="Q76" s="78"/>
      <c r="R76" s="78"/>
      <c r="S76" s="78"/>
      <c r="T76" s="78">
        <f t="shared" ref="T76:T139" si="9">+M76</f>
        <v>7622.22</v>
      </c>
    </row>
    <row r="77" spans="1:20" ht="61.5" customHeight="1">
      <c r="A77" s="12">
        <v>70</v>
      </c>
      <c r="B77" s="10" t="s">
        <v>124</v>
      </c>
      <c r="C77" s="14" t="s">
        <v>125</v>
      </c>
      <c r="D77" s="16">
        <v>1</v>
      </c>
      <c r="E77" s="8" t="s">
        <v>390</v>
      </c>
      <c r="F77" s="19">
        <v>3</v>
      </c>
      <c r="G77" s="66" t="s">
        <v>401</v>
      </c>
      <c r="H77" s="5" t="s">
        <v>307</v>
      </c>
      <c r="I77" s="28" t="s">
        <v>107</v>
      </c>
      <c r="J77" s="43"/>
      <c r="K77" s="43">
        <v>0</v>
      </c>
      <c r="L77" s="43"/>
      <c r="M77" s="78">
        <f t="shared" si="7"/>
        <v>0</v>
      </c>
      <c r="N77" s="78">
        <f t="shared" si="8"/>
        <v>0</v>
      </c>
      <c r="O77" s="78"/>
      <c r="P77" s="78"/>
      <c r="Q77" s="78"/>
      <c r="R77" s="78"/>
      <c r="S77" s="78"/>
      <c r="T77" s="78"/>
    </row>
    <row r="78" spans="1:20" ht="52.5" hidden="1" customHeight="1">
      <c r="A78" s="12">
        <v>71</v>
      </c>
      <c r="B78" s="10" t="s">
        <v>123</v>
      </c>
      <c r="C78" s="14" t="s">
        <v>122</v>
      </c>
      <c r="D78" s="16">
        <v>2</v>
      </c>
      <c r="E78" s="8" t="s">
        <v>390</v>
      </c>
      <c r="F78" s="19">
        <v>3</v>
      </c>
      <c r="G78" s="66" t="s">
        <v>401</v>
      </c>
      <c r="H78" s="5" t="s">
        <v>307</v>
      </c>
      <c r="I78" s="28" t="s">
        <v>107</v>
      </c>
      <c r="J78" s="48"/>
      <c r="K78" s="48">
        <f>'Dados Detalhados'!$L$724</f>
        <v>2708.33</v>
      </c>
      <c r="L78" s="48"/>
      <c r="M78" s="78">
        <f t="shared" si="7"/>
        <v>2708.33</v>
      </c>
      <c r="N78" s="78"/>
      <c r="O78" s="78"/>
      <c r="P78" s="78"/>
      <c r="Q78" s="78"/>
      <c r="R78" s="78">
        <f>SUM(J78:L78)</f>
        <v>2708.33</v>
      </c>
      <c r="S78" s="78"/>
      <c r="T78" s="78"/>
    </row>
    <row r="79" spans="1:20" ht="52.5" customHeight="1">
      <c r="A79" s="12">
        <v>72</v>
      </c>
      <c r="B79" s="10" t="s">
        <v>121</v>
      </c>
      <c r="C79" s="14" t="s">
        <v>392</v>
      </c>
      <c r="D79" s="16">
        <v>1</v>
      </c>
      <c r="E79" s="8" t="s">
        <v>390</v>
      </c>
      <c r="F79" s="19">
        <v>3</v>
      </c>
      <c r="G79" s="66" t="s">
        <v>401</v>
      </c>
      <c r="H79" s="5" t="s">
        <v>306</v>
      </c>
      <c r="I79" s="28" t="s">
        <v>107</v>
      </c>
      <c r="J79" s="42"/>
      <c r="K79" s="42">
        <f>'Dados Detalhados'!$L$727</f>
        <v>7140</v>
      </c>
      <c r="L79" s="42"/>
      <c r="M79" s="78">
        <f t="shared" si="7"/>
        <v>7140</v>
      </c>
      <c r="N79" s="78"/>
      <c r="O79" s="78"/>
      <c r="P79" s="78"/>
      <c r="Q79" s="78"/>
      <c r="R79" s="78"/>
      <c r="S79" s="78"/>
      <c r="T79" s="78">
        <f t="shared" si="9"/>
        <v>7140</v>
      </c>
    </row>
    <row r="80" spans="1:20" ht="52.5" hidden="1" customHeight="1">
      <c r="A80" s="12">
        <v>73</v>
      </c>
      <c r="B80" s="10" t="s">
        <v>120</v>
      </c>
      <c r="C80" s="14" t="s">
        <v>119</v>
      </c>
      <c r="D80" s="16">
        <v>2</v>
      </c>
      <c r="E80" s="8" t="s">
        <v>390</v>
      </c>
      <c r="F80" s="19">
        <v>3</v>
      </c>
      <c r="G80" s="66" t="s">
        <v>401</v>
      </c>
      <c r="H80" s="5" t="s">
        <v>305</v>
      </c>
      <c r="I80" s="28" t="s">
        <v>107</v>
      </c>
      <c r="J80" s="43"/>
      <c r="K80" s="43">
        <v>0</v>
      </c>
      <c r="L80" s="43"/>
      <c r="M80" s="78">
        <f t="shared" si="7"/>
        <v>0</v>
      </c>
      <c r="N80" s="78"/>
      <c r="O80" s="78"/>
      <c r="P80" s="78"/>
      <c r="Q80" s="78"/>
      <c r="R80" s="78"/>
      <c r="S80" s="78"/>
      <c r="T80" s="78">
        <f t="shared" si="9"/>
        <v>0</v>
      </c>
    </row>
    <row r="81" spans="1:20" ht="52.5" hidden="1" customHeight="1">
      <c r="A81" s="12">
        <v>74</v>
      </c>
      <c r="B81" s="10" t="s">
        <v>118</v>
      </c>
      <c r="C81" s="14" t="s">
        <v>117</v>
      </c>
      <c r="D81" s="16">
        <v>2</v>
      </c>
      <c r="E81" s="8" t="s">
        <v>390</v>
      </c>
      <c r="F81" s="19">
        <v>3</v>
      </c>
      <c r="G81" s="66" t="s">
        <v>401</v>
      </c>
      <c r="H81" s="5" t="s">
        <v>305</v>
      </c>
      <c r="I81" s="28" t="s">
        <v>107</v>
      </c>
      <c r="J81" s="229"/>
      <c r="K81" s="43">
        <v>0</v>
      </c>
      <c r="L81" s="43"/>
      <c r="M81" s="78">
        <f t="shared" si="7"/>
        <v>0</v>
      </c>
      <c r="N81" s="78">
        <f t="shared" si="8"/>
        <v>0</v>
      </c>
      <c r="O81" s="78"/>
      <c r="P81" s="78"/>
      <c r="Q81" s="78"/>
      <c r="R81" s="78"/>
      <c r="S81" s="78"/>
      <c r="T81" s="78"/>
    </row>
    <row r="82" spans="1:20" ht="52.5" hidden="1" customHeight="1">
      <c r="A82" s="12">
        <v>75</v>
      </c>
      <c r="B82" s="10" t="s">
        <v>115</v>
      </c>
      <c r="C82" s="14" t="s">
        <v>114</v>
      </c>
      <c r="D82" s="16">
        <v>2</v>
      </c>
      <c r="E82" s="8" t="s">
        <v>390</v>
      </c>
      <c r="F82" s="19">
        <v>3</v>
      </c>
      <c r="G82" s="66" t="s">
        <v>401</v>
      </c>
      <c r="H82" s="5"/>
      <c r="I82" s="28" t="s">
        <v>107</v>
      </c>
      <c r="J82" s="231"/>
      <c r="K82" s="230">
        <f>'Dados Detalhados'!$L$761</f>
        <v>20725.560000000001</v>
      </c>
      <c r="L82" s="43"/>
      <c r="M82" s="78">
        <f t="shared" si="7"/>
        <v>20725.560000000001</v>
      </c>
      <c r="N82" s="78">
        <f t="shared" si="8"/>
        <v>20725.560000000001</v>
      </c>
      <c r="O82" s="78"/>
      <c r="P82" s="78"/>
      <c r="Q82" s="78"/>
      <c r="R82" s="78"/>
      <c r="S82" s="78"/>
      <c r="T82" s="78"/>
    </row>
    <row r="83" spans="1:20" ht="52.5" customHeight="1">
      <c r="A83" s="12">
        <v>76</v>
      </c>
      <c r="B83" s="10" t="s">
        <v>113</v>
      </c>
      <c r="C83" s="14" t="s">
        <v>112</v>
      </c>
      <c r="D83" s="16">
        <v>1</v>
      </c>
      <c r="E83" s="8" t="s">
        <v>390</v>
      </c>
      <c r="F83" s="19">
        <v>3</v>
      </c>
      <c r="G83" s="66" t="s">
        <v>401</v>
      </c>
      <c r="H83" s="5" t="s">
        <v>305</v>
      </c>
      <c r="I83" s="28" t="s">
        <v>107</v>
      </c>
      <c r="J83" s="224"/>
      <c r="K83" s="224">
        <f>'Dados Detalhados'!$L$777</f>
        <v>3788.65</v>
      </c>
      <c r="L83" s="224"/>
      <c r="M83" s="78">
        <f t="shared" si="7"/>
        <v>3788.65</v>
      </c>
      <c r="N83" s="78">
        <f t="shared" si="8"/>
        <v>3788.65</v>
      </c>
      <c r="O83" s="78"/>
      <c r="P83" s="78"/>
      <c r="Q83" s="78"/>
      <c r="R83" s="78"/>
      <c r="S83" s="78"/>
      <c r="T83" s="78"/>
    </row>
    <row r="84" spans="1:20" ht="52.5" customHeight="1">
      <c r="A84" s="12">
        <v>77</v>
      </c>
      <c r="B84" s="10" t="s">
        <v>111</v>
      </c>
      <c r="C84" s="14" t="s">
        <v>110</v>
      </c>
      <c r="D84" s="16">
        <v>1</v>
      </c>
      <c r="E84" s="8" t="s">
        <v>390</v>
      </c>
      <c r="F84" s="19">
        <v>3</v>
      </c>
      <c r="G84" s="66" t="s">
        <v>401</v>
      </c>
      <c r="H84" s="5"/>
      <c r="I84" s="28" t="s">
        <v>107</v>
      </c>
      <c r="J84" s="224"/>
      <c r="K84" s="224">
        <f>'Dados Detalhados'!$L$791</f>
        <v>3070.2</v>
      </c>
      <c r="L84" s="224"/>
      <c r="M84" s="78">
        <f t="shared" si="7"/>
        <v>3070.2</v>
      </c>
      <c r="N84" s="78">
        <f t="shared" si="8"/>
        <v>3070.2</v>
      </c>
      <c r="O84" s="78"/>
      <c r="P84" s="78"/>
      <c r="Q84" s="78"/>
      <c r="R84" s="78"/>
      <c r="S84" s="78"/>
      <c r="T84" s="78"/>
    </row>
    <row r="85" spans="1:20" ht="52.5" customHeight="1">
      <c r="A85" s="12">
        <v>78</v>
      </c>
      <c r="B85" s="10" t="s">
        <v>109</v>
      </c>
      <c r="C85" s="14" t="s">
        <v>108</v>
      </c>
      <c r="D85" s="16">
        <v>1</v>
      </c>
      <c r="E85" s="8" t="s">
        <v>390</v>
      </c>
      <c r="F85" s="19">
        <v>3</v>
      </c>
      <c r="G85" s="66" t="s">
        <v>401</v>
      </c>
      <c r="H85" s="5"/>
      <c r="I85" s="28" t="s">
        <v>107</v>
      </c>
      <c r="J85" s="224"/>
      <c r="K85" s="43">
        <v>0</v>
      </c>
      <c r="L85" s="43"/>
      <c r="M85" s="78">
        <f t="shared" si="7"/>
        <v>0</v>
      </c>
      <c r="N85" s="78">
        <f t="shared" si="8"/>
        <v>0</v>
      </c>
      <c r="O85" s="78"/>
      <c r="P85" s="78"/>
      <c r="Q85" s="78"/>
      <c r="R85" s="78"/>
      <c r="S85" s="78"/>
      <c r="T85" s="78"/>
    </row>
    <row r="86" spans="1:20" ht="52.5" customHeight="1">
      <c r="A86" s="12">
        <v>79</v>
      </c>
      <c r="B86" s="10" t="s">
        <v>106</v>
      </c>
      <c r="C86" s="14" t="s">
        <v>105</v>
      </c>
      <c r="D86" s="16">
        <v>1</v>
      </c>
      <c r="E86" s="8" t="s">
        <v>390</v>
      </c>
      <c r="F86" s="19">
        <v>3</v>
      </c>
      <c r="G86" s="66" t="s">
        <v>402</v>
      </c>
      <c r="H86" s="5" t="s">
        <v>304</v>
      </c>
      <c r="I86" s="28" t="s">
        <v>77</v>
      </c>
      <c r="J86" s="43"/>
      <c r="K86" s="43">
        <v>0</v>
      </c>
      <c r="L86" s="43"/>
      <c r="M86" s="78">
        <f t="shared" si="7"/>
        <v>0</v>
      </c>
      <c r="N86" s="78">
        <f t="shared" si="8"/>
        <v>0</v>
      </c>
      <c r="O86" s="78"/>
      <c r="P86" s="78"/>
      <c r="Q86" s="78"/>
      <c r="R86" s="78"/>
      <c r="S86" s="78"/>
      <c r="T86" s="78"/>
    </row>
    <row r="87" spans="1:20" ht="52.5" customHeight="1">
      <c r="A87" s="12">
        <v>80</v>
      </c>
      <c r="B87" s="10" t="s">
        <v>101</v>
      </c>
      <c r="C87" s="14" t="s">
        <v>104</v>
      </c>
      <c r="D87" s="16">
        <v>1</v>
      </c>
      <c r="E87" s="8" t="s">
        <v>390</v>
      </c>
      <c r="F87" s="19">
        <v>3</v>
      </c>
      <c r="G87" s="66" t="s">
        <v>402</v>
      </c>
      <c r="H87" s="5" t="s">
        <v>286</v>
      </c>
      <c r="I87" s="28" t="s">
        <v>77</v>
      </c>
      <c r="J87" s="233"/>
      <c r="K87" s="233">
        <f>'Dados Detalhados'!$L$838</f>
        <v>4370</v>
      </c>
      <c r="L87" s="233"/>
      <c r="M87" s="78">
        <f t="shared" si="7"/>
        <v>4370</v>
      </c>
      <c r="N87" s="78"/>
      <c r="O87" s="78"/>
      <c r="P87" s="78"/>
      <c r="Q87" s="78">
        <f t="shared" ref="Q87:Q132" si="10">+M87</f>
        <v>4370</v>
      </c>
      <c r="R87" s="78"/>
      <c r="S87" s="78"/>
      <c r="T87" s="78"/>
    </row>
    <row r="88" spans="1:20" ht="52.5" customHeight="1">
      <c r="A88" s="12">
        <v>81</v>
      </c>
      <c r="B88" s="10" t="s">
        <v>103</v>
      </c>
      <c r="C88" s="14" t="s">
        <v>102</v>
      </c>
      <c r="D88" s="16">
        <v>1</v>
      </c>
      <c r="E88" s="8" t="s">
        <v>390</v>
      </c>
      <c r="F88" s="19">
        <v>3</v>
      </c>
      <c r="G88" s="66" t="s">
        <v>402</v>
      </c>
      <c r="H88" s="5"/>
      <c r="I88" s="28" t="s">
        <v>77</v>
      </c>
      <c r="J88" s="233"/>
      <c r="K88" s="233">
        <f>'Dados Detalhados'!$L$844</f>
        <v>832</v>
      </c>
      <c r="L88" s="233"/>
      <c r="M88" s="78">
        <f t="shared" si="7"/>
        <v>832</v>
      </c>
      <c r="N88" s="78"/>
      <c r="O88" s="78"/>
      <c r="P88" s="78"/>
      <c r="Q88" s="78">
        <f t="shared" si="10"/>
        <v>832</v>
      </c>
      <c r="R88" s="78"/>
      <c r="S88" s="78"/>
      <c r="T88" s="78"/>
    </row>
    <row r="89" spans="1:20" ht="52.5" customHeight="1">
      <c r="A89" s="12">
        <v>82</v>
      </c>
      <c r="B89" s="10" t="s">
        <v>100</v>
      </c>
      <c r="C89" s="14" t="s">
        <v>99</v>
      </c>
      <c r="D89" s="16">
        <v>1</v>
      </c>
      <c r="E89" s="8" t="s">
        <v>390</v>
      </c>
      <c r="F89" s="19">
        <v>3</v>
      </c>
      <c r="G89" s="66" t="s">
        <v>402</v>
      </c>
      <c r="H89" s="5"/>
      <c r="I89" s="28" t="s">
        <v>77</v>
      </c>
      <c r="J89" s="233"/>
      <c r="K89" s="233">
        <f>'Dados Detalhados'!$L$850</f>
        <v>110</v>
      </c>
      <c r="L89" s="233"/>
      <c r="M89" s="78">
        <f t="shared" si="7"/>
        <v>110</v>
      </c>
      <c r="N89" s="78"/>
      <c r="O89" s="78"/>
      <c r="P89" s="78"/>
      <c r="Q89" s="78">
        <f t="shared" si="10"/>
        <v>110</v>
      </c>
      <c r="R89" s="78"/>
      <c r="S89" s="78"/>
      <c r="T89" s="78"/>
    </row>
    <row r="90" spans="1:20" ht="52.5" customHeight="1">
      <c r="A90" s="12">
        <v>83</v>
      </c>
      <c r="B90" s="18" t="s">
        <v>98</v>
      </c>
      <c r="C90" s="18" t="s">
        <v>97</v>
      </c>
      <c r="D90" s="16">
        <v>1</v>
      </c>
      <c r="E90" s="8" t="s">
        <v>390</v>
      </c>
      <c r="F90" s="19">
        <v>3</v>
      </c>
      <c r="G90" s="66" t="s">
        <v>402</v>
      </c>
      <c r="H90" s="17" t="s">
        <v>303</v>
      </c>
      <c r="I90" s="28" t="s">
        <v>77</v>
      </c>
      <c r="J90" s="224"/>
      <c r="K90" s="224">
        <f>'Dados Detalhados'!$L$856</f>
        <v>1134.3599999999999</v>
      </c>
      <c r="L90" s="224"/>
      <c r="M90" s="78">
        <f t="shared" si="7"/>
        <v>1134.3599999999999</v>
      </c>
      <c r="N90" s="78">
        <f t="shared" si="8"/>
        <v>1134.3599999999999</v>
      </c>
      <c r="O90" s="78"/>
      <c r="P90" s="78"/>
      <c r="Q90" s="78"/>
      <c r="R90" s="78"/>
      <c r="S90" s="78"/>
      <c r="T90" s="78"/>
    </row>
    <row r="91" spans="1:20" ht="52.5" hidden="1" customHeight="1">
      <c r="A91" s="12">
        <v>84</v>
      </c>
      <c r="B91" s="10" t="s">
        <v>96</v>
      </c>
      <c r="C91" s="14" t="s">
        <v>95</v>
      </c>
      <c r="D91" s="16">
        <v>2</v>
      </c>
      <c r="E91" s="8" t="s">
        <v>389</v>
      </c>
      <c r="F91" s="19">
        <v>2</v>
      </c>
      <c r="G91" s="66" t="s">
        <v>400</v>
      </c>
      <c r="H91" s="5" t="s">
        <v>302</v>
      </c>
      <c r="I91" s="28" t="s">
        <v>77</v>
      </c>
      <c r="J91" s="43"/>
      <c r="K91" s="43">
        <v>0</v>
      </c>
      <c r="L91" s="43"/>
      <c r="M91" s="78">
        <f t="shared" si="7"/>
        <v>0</v>
      </c>
      <c r="N91" s="78"/>
      <c r="O91" s="78"/>
      <c r="P91" s="78"/>
      <c r="Q91" s="78"/>
      <c r="R91" s="78"/>
      <c r="S91" s="78"/>
      <c r="T91" s="78">
        <f t="shared" si="9"/>
        <v>0</v>
      </c>
    </row>
    <row r="92" spans="1:20" ht="52.5" customHeight="1">
      <c r="A92" s="12">
        <v>85</v>
      </c>
      <c r="B92" s="10" t="s">
        <v>94</v>
      </c>
      <c r="C92" s="14" t="s">
        <v>93</v>
      </c>
      <c r="D92" s="16">
        <v>1</v>
      </c>
      <c r="E92" s="8" t="s">
        <v>389</v>
      </c>
      <c r="F92" s="19">
        <v>2</v>
      </c>
      <c r="G92" s="66" t="s">
        <v>400</v>
      </c>
      <c r="H92" s="5" t="s">
        <v>301</v>
      </c>
      <c r="I92" s="28" t="s">
        <v>77</v>
      </c>
      <c r="J92" s="42"/>
      <c r="K92" s="42">
        <f>'Dados Detalhados'!$L$874</f>
        <v>3182.41</v>
      </c>
      <c r="L92" s="42"/>
      <c r="M92" s="78">
        <f t="shared" si="7"/>
        <v>3182.41</v>
      </c>
      <c r="N92" s="78">
        <f t="shared" si="8"/>
        <v>3182.41</v>
      </c>
      <c r="O92" s="78"/>
      <c r="P92" s="78"/>
      <c r="Q92" s="78"/>
      <c r="R92" s="78"/>
      <c r="S92" s="78"/>
      <c r="T92" s="78"/>
    </row>
    <row r="93" spans="1:20" ht="52.5" customHeight="1">
      <c r="A93" s="12">
        <v>86</v>
      </c>
      <c r="B93" s="10" t="s">
        <v>92</v>
      </c>
      <c r="C93" s="14" t="s">
        <v>91</v>
      </c>
      <c r="D93" s="16">
        <v>1</v>
      </c>
      <c r="E93" s="8" t="s">
        <v>390</v>
      </c>
      <c r="F93" s="19">
        <v>3</v>
      </c>
      <c r="G93" s="66" t="s">
        <v>402</v>
      </c>
      <c r="H93" s="5" t="s">
        <v>300</v>
      </c>
      <c r="I93" s="28" t="s">
        <v>77</v>
      </c>
      <c r="J93" s="224"/>
      <c r="K93" s="224">
        <f>'Dados Detalhados'!$L$886</f>
        <v>3070.2</v>
      </c>
      <c r="L93" s="224"/>
      <c r="M93" s="78">
        <f t="shared" si="7"/>
        <v>3070.2</v>
      </c>
      <c r="N93" s="78">
        <f t="shared" si="8"/>
        <v>3070.2</v>
      </c>
      <c r="O93" s="78"/>
      <c r="P93" s="78"/>
      <c r="Q93" s="78"/>
      <c r="R93" s="78"/>
      <c r="S93" s="78"/>
      <c r="T93" s="78"/>
    </row>
    <row r="94" spans="1:20" ht="61.5" hidden="1" customHeight="1">
      <c r="A94" s="12">
        <v>87</v>
      </c>
      <c r="B94" s="10" t="s">
        <v>90</v>
      </c>
      <c r="C94" s="14" t="s">
        <v>89</v>
      </c>
      <c r="D94" s="16">
        <v>3</v>
      </c>
      <c r="E94" s="8" t="s">
        <v>390</v>
      </c>
      <c r="F94" s="19">
        <v>3</v>
      </c>
      <c r="G94" s="66" t="s">
        <v>404</v>
      </c>
      <c r="H94" s="5"/>
      <c r="I94" s="28" t="s">
        <v>77</v>
      </c>
      <c r="J94" s="224"/>
      <c r="K94" s="43">
        <v>0</v>
      </c>
      <c r="L94" s="43"/>
      <c r="M94" s="78">
        <f t="shared" si="7"/>
        <v>0</v>
      </c>
      <c r="N94" s="78">
        <f t="shared" si="8"/>
        <v>0</v>
      </c>
      <c r="O94" s="78"/>
      <c r="P94" s="78"/>
      <c r="Q94" s="78"/>
      <c r="R94" s="78"/>
      <c r="S94" s="78"/>
      <c r="T94" s="78"/>
    </row>
    <row r="95" spans="1:20" ht="52.5" hidden="1" customHeight="1">
      <c r="A95" s="12">
        <v>88</v>
      </c>
      <c r="B95" s="10" t="s">
        <v>87</v>
      </c>
      <c r="C95" s="14" t="s">
        <v>86</v>
      </c>
      <c r="D95" s="16">
        <v>3</v>
      </c>
      <c r="E95" s="8" t="s">
        <v>390</v>
      </c>
      <c r="F95" s="19">
        <v>3</v>
      </c>
      <c r="G95" s="66" t="s">
        <v>404</v>
      </c>
      <c r="H95" s="5"/>
      <c r="I95" s="28" t="s">
        <v>77</v>
      </c>
      <c r="J95" s="43"/>
      <c r="K95" s="43">
        <f>'Dados Detalhados'!$L$907</f>
        <v>11856.72</v>
      </c>
      <c r="L95" s="43"/>
      <c r="M95" s="78">
        <f t="shared" si="7"/>
        <v>11856.72</v>
      </c>
      <c r="N95" s="78"/>
      <c r="O95" s="78"/>
      <c r="P95" s="78"/>
      <c r="Q95" s="78"/>
      <c r="R95" s="78"/>
      <c r="S95" s="78"/>
      <c r="T95" s="78">
        <f t="shared" si="9"/>
        <v>11856.72</v>
      </c>
    </row>
    <row r="96" spans="1:20" ht="52.5" hidden="1" customHeight="1">
      <c r="A96" s="12">
        <v>89</v>
      </c>
      <c r="B96" s="10" t="s">
        <v>85</v>
      </c>
      <c r="C96" s="14" t="s">
        <v>84</v>
      </c>
      <c r="D96" s="16">
        <v>2</v>
      </c>
      <c r="E96" s="8" t="s">
        <v>390</v>
      </c>
      <c r="F96" s="19">
        <v>3</v>
      </c>
      <c r="G96" s="66" t="s">
        <v>402</v>
      </c>
      <c r="H96" s="5"/>
      <c r="I96" s="28" t="s">
        <v>77</v>
      </c>
      <c r="J96" s="47"/>
      <c r="K96" s="47">
        <f>'Dados Detalhados'!$L$925</f>
        <v>3000</v>
      </c>
      <c r="L96" s="47"/>
      <c r="M96" s="78">
        <f t="shared" si="7"/>
        <v>3000</v>
      </c>
      <c r="N96" s="78"/>
      <c r="O96" s="78"/>
      <c r="P96" s="78"/>
      <c r="Q96" s="78"/>
      <c r="R96" s="78"/>
      <c r="S96" s="78"/>
      <c r="T96" s="78">
        <f t="shared" si="9"/>
        <v>3000</v>
      </c>
    </row>
    <row r="97" spans="1:20" ht="62.25" customHeight="1">
      <c r="A97" s="12">
        <v>90</v>
      </c>
      <c r="B97" s="10" t="s">
        <v>83</v>
      </c>
      <c r="C97" s="14" t="s">
        <v>82</v>
      </c>
      <c r="D97" s="16">
        <v>1</v>
      </c>
      <c r="E97" s="8" t="s">
        <v>390</v>
      </c>
      <c r="F97" s="19">
        <v>3</v>
      </c>
      <c r="G97" s="66" t="s">
        <v>402</v>
      </c>
      <c r="H97" s="5"/>
      <c r="I97" s="28" t="s">
        <v>77</v>
      </c>
      <c r="J97" s="47"/>
      <c r="K97" s="47">
        <f>'Dados Detalhados'!$L$928</f>
        <v>6143.39</v>
      </c>
      <c r="L97" s="43"/>
      <c r="M97" s="78">
        <f t="shared" si="7"/>
        <v>6143.39</v>
      </c>
      <c r="N97" s="78"/>
      <c r="O97" s="78"/>
      <c r="P97" s="78"/>
      <c r="Q97" s="78"/>
      <c r="R97" s="78"/>
      <c r="S97" s="78"/>
      <c r="T97" s="78">
        <f t="shared" si="9"/>
        <v>6143.39</v>
      </c>
    </row>
    <row r="98" spans="1:20" ht="52.5" customHeight="1">
      <c r="A98" s="12">
        <v>91</v>
      </c>
      <c r="B98" s="10" t="s">
        <v>81</v>
      </c>
      <c r="C98" s="14" t="s">
        <v>80</v>
      </c>
      <c r="D98" s="16">
        <v>1</v>
      </c>
      <c r="E98" s="8" t="s">
        <v>390</v>
      </c>
      <c r="F98" s="19">
        <v>3</v>
      </c>
      <c r="G98" s="66" t="s">
        <v>402</v>
      </c>
      <c r="H98" s="5"/>
      <c r="I98" s="28" t="s">
        <v>77</v>
      </c>
      <c r="J98" s="47"/>
      <c r="K98" s="47">
        <f>'Dados Detalhados'!$L$944</f>
        <v>9806.06</v>
      </c>
      <c r="L98" s="43"/>
      <c r="M98" s="78">
        <f t="shared" si="7"/>
        <v>9806.06</v>
      </c>
      <c r="N98" s="78"/>
      <c r="O98" s="78"/>
      <c r="P98" s="78"/>
      <c r="Q98" s="78"/>
      <c r="R98" s="78"/>
      <c r="S98" s="78"/>
      <c r="T98" s="78">
        <f t="shared" si="9"/>
        <v>9806.06</v>
      </c>
    </row>
    <row r="99" spans="1:20" ht="52.5" customHeight="1">
      <c r="A99" s="12">
        <v>92</v>
      </c>
      <c r="B99" s="10" t="s">
        <v>79</v>
      </c>
      <c r="C99" s="14" t="s">
        <v>78</v>
      </c>
      <c r="D99" s="6">
        <v>1</v>
      </c>
      <c r="E99" s="8" t="s">
        <v>390</v>
      </c>
      <c r="F99" s="19">
        <v>3</v>
      </c>
      <c r="G99" s="66" t="s">
        <v>402</v>
      </c>
      <c r="H99" s="5"/>
      <c r="I99" s="28" t="s">
        <v>77</v>
      </c>
      <c r="J99" s="48"/>
      <c r="K99" s="48">
        <f>'Dados Detalhados'!$L$964</f>
        <v>2500</v>
      </c>
      <c r="L99" s="48"/>
      <c r="M99" s="78">
        <f t="shared" si="7"/>
        <v>2500</v>
      </c>
      <c r="N99" s="78"/>
      <c r="O99" s="78"/>
      <c r="P99" s="78"/>
      <c r="Q99" s="78"/>
      <c r="R99" s="78">
        <f t="shared" ref="R99:R132" si="11">+M99</f>
        <v>2500</v>
      </c>
      <c r="S99" s="78"/>
      <c r="T99" s="78"/>
    </row>
    <row r="100" spans="1:20" ht="52.5" customHeight="1">
      <c r="A100" s="12">
        <v>93</v>
      </c>
      <c r="B100" s="10" t="s">
        <v>76</v>
      </c>
      <c r="C100" s="10" t="s">
        <v>75</v>
      </c>
      <c r="D100" s="15">
        <v>1</v>
      </c>
      <c r="E100" s="8" t="s">
        <v>42</v>
      </c>
      <c r="F100" s="8">
        <v>4</v>
      </c>
      <c r="G100" s="67" t="s">
        <v>406</v>
      </c>
      <c r="H100" s="9" t="s">
        <v>299</v>
      </c>
      <c r="I100" s="28" t="s">
        <v>41</v>
      </c>
      <c r="J100" s="42"/>
      <c r="K100" s="42">
        <f>'Dados Detalhados'!$L$966</f>
        <v>0</v>
      </c>
      <c r="L100" s="42"/>
      <c r="M100" s="78">
        <f t="shared" si="7"/>
        <v>0</v>
      </c>
      <c r="N100" s="78">
        <f t="shared" si="8"/>
        <v>0</v>
      </c>
      <c r="O100" s="78">
        <f t="shared" ref="O100:O132" si="12">+M100</f>
        <v>0</v>
      </c>
      <c r="P100" s="78">
        <f t="shared" ref="P100:P132" si="13">+M100</f>
        <v>0</v>
      </c>
      <c r="Q100" s="78">
        <f t="shared" si="10"/>
        <v>0</v>
      </c>
      <c r="R100" s="78">
        <f t="shared" si="11"/>
        <v>0</v>
      </c>
      <c r="S100" s="78"/>
      <c r="T100" s="78">
        <f t="shared" si="9"/>
        <v>0</v>
      </c>
    </row>
    <row r="101" spans="1:20" ht="52.5" customHeight="1">
      <c r="A101" s="12">
        <v>94</v>
      </c>
      <c r="B101" s="10" t="s">
        <v>74</v>
      </c>
      <c r="C101" s="10" t="s">
        <v>73</v>
      </c>
      <c r="D101" s="15">
        <v>1</v>
      </c>
      <c r="E101" s="8" t="s">
        <v>42</v>
      </c>
      <c r="F101" s="8">
        <v>4</v>
      </c>
      <c r="G101" s="67" t="s">
        <v>406</v>
      </c>
      <c r="H101" s="9" t="s">
        <v>298</v>
      </c>
      <c r="I101" s="28" t="s">
        <v>41</v>
      </c>
      <c r="J101" s="43"/>
      <c r="K101" s="43">
        <v>0</v>
      </c>
      <c r="L101" s="43"/>
      <c r="M101" s="78">
        <f t="shared" si="7"/>
        <v>0</v>
      </c>
      <c r="N101" s="78"/>
      <c r="O101" s="78"/>
      <c r="P101" s="78"/>
      <c r="Q101" s="78"/>
      <c r="R101" s="78"/>
      <c r="S101" s="78"/>
      <c r="T101" s="78">
        <f t="shared" si="9"/>
        <v>0</v>
      </c>
    </row>
    <row r="102" spans="1:20" ht="52.5" customHeight="1">
      <c r="A102" s="12">
        <v>95</v>
      </c>
      <c r="B102" s="10" t="s">
        <v>72</v>
      </c>
      <c r="C102" s="10" t="s">
        <v>71</v>
      </c>
      <c r="D102" s="15">
        <v>1</v>
      </c>
      <c r="E102" s="8" t="s">
        <v>42</v>
      </c>
      <c r="F102" s="8">
        <v>4</v>
      </c>
      <c r="G102" s="67" t="s">
        <v>406</v>
      </c>
      <c r="H102" s="9" t="s">
        <v>297</v>
      </c>
      <c r="I102" s="28" t="s">
        <v>41</v>
      </c>
      <c r="J102" s="42"/>
      <c r="K102" s="42">
        <f>'Dados Detalhados'!$L$996</f>
        <v>0</v>
      </c>
      <c r="L102" s="42"/>
      <c r="M102" s="78">
        <f t="shared" si="7"/>
        <v>0</v>
      </c>
      <c r="N102" s="78">
        <f t="shared" si="8"/>
        <v>0</v>
      </c>
      <c r="O102" s="78">
        <f t="shared" si="12"/>
        <v>0</v>
      </c>
      <c r="P102" s="78">
        <f t="shared" si="13"/>
        <v>0</v>
      </c>
      <c r="Q102" s="78">
        <f t="shared" si="10"/>
        <v>0</v>
      </c>
      <c r="R102" s="78">
        <f t="shared" si="11"/>
        <v>0</v>
      </c>
      <c r="S102" s="78"/>
      <c r="T102" s="78">
        <f t="shared" si="9"/>
        <v>0</v>
      </c>
    </row>
    <row r="103" spans="1:20" ht="52.5" customHeight="1">
      <c r="A103" s="12">
        <v>96</v>
      </c>
      <c r="B103" s="10" t="s">
        <v>70</v>
      </c>
      <c r="C103" s="10" t="s">
        <v>69</v>
      </c>
      <c r="D103" s="15">
        <v>1</v>
      </c>
      <c r="E103" s="8" t="s">
        <v>42</v>
      </c>
      <c r="F103" s="8">
        <v>4</v>
      </c>
      <c r="G103" s="67" t="s">
        <v>406</v>
      </c>
      <c r="H103" s="9" t="s">
        <v>296</v>
      </c>
      <c r="I103" s="28" t="s">
        <v>41</v>
      </c>
      <c r="J103" s="224"/>
      <c r="K103" s="224">
        <f>'Dados Detalhados'!$L$1000</f>
        <v>366.67</v>
      </c>
      <c r="L103" s="224"/>
      <c r="M103" s="78">
        <f t="shared" si="7"/>
        <v>366.67</v>
      </c>
      <c r="N103" s="78">
        <f t="shared" si="8"/>
        <v>366.67</v>
      </c>
      <c r="O103" s="78"/>
      <c r="P103" s="78"/>
      <c r="Q103" s="78"/>
      <c r="R103" s="78"/>
      <c r="S103" s="78"/>
      <c r="T103" s="78"/>
    </row>
    <row r="104" spans="1:20" ht="52.5" customHeight="1">
      <c r="A104" s="12">
        <v>97</v>
      </c>
      <c r="B104" s="10" t="s">
        <v>68</v>
      </c>
      <c r="C104" s="14" t="s">
        <v>67</v>
      </c>
      <c r="D104" s="15">
        <v>1</v>
      </c>
      <c r="E104" s="8" t="s">
        <v>42</v>
      </c>
      <c r="F104" s="8">
        <v>4</v>
      </c>
      <c r="G104" s="67" t="s">
        <v>405</v>
      </c>
      <c r="H104" s="5" t="s">
        <v>295</v>
      </c>
      <c r="I104" s="28" t="s">
        <v>41</v>
      </c>
      <c r="J104" s="48"/>
      <c r="K104" s="48">
        <f>'Dados Detalhados'!$L$1009</f>
        <v>963</v>
      </c>
      <c r="L104" s="48"/>
      <c r="M104" s="78">
        <f t="shared" si="7"/>
        <v>963</v>
      </c>
      <c r="N104" s="78"/>
      <c r="O104" s="78"/>
      <c r="P104" s="78"/>
      <c r="Q104" s="78"/>
      <c r="R104" s="78">
        <f t="shared" si="11"/>
        <v>963</v>
      </c>
      <c r="S104" s="78"/>
      <c r="T104" s="78"/>
    </row>
    <row r="105" spans="1:20" ht="52.5" customHeight="1">
      <c r="A105" s="12">
        <v>98</v>
      </c>
      <c r="B105" s="13" t="s">
        <v>66</v>
      </c>
      <c r="C105" s="13" t="s">
        <v>65</v>
      </c>
      <c r="D105" s="15">
        <v>1</v>
      </c>
      <c r="E105" s="8" t="s">
        <v>42</v>
      </c>
      <c r="F105" s="8">
        <v>4</v>
      </c>
      <c r="G105" s="67" t="s">
        <v>405</v>
      </c>
      <c r="H105" s="7" t="s">
        <v>294</v>
      </c>
      <c r="I105" s="28" t="s">
        <v>41</v>
      </c>
      <c r="J105" s="47"/>
      <c r="K105" s="47">
        <f>'Dados Detalhados'!$L$1011</f>
        <v>1262.48</v>
      </c>
      <c r="L105" s="47"/>
      <c r="M105" s="78">
        <f t="shared" si="7"/>
        <v>1262.48</v>
      </c>
      <c r="N105" s="78"/>
      <c r="O105" s="78"/>
      <c r="P105" s="78"/>
      <c r="Q105" s="78"/>
      <c r="R105" s="78"/>
      <c r="S105" s="78"/>
      <c r="T105" s="78">
        <f t="shared" si="9"/>
        <v>1262.48</v>
      </c>
    </row>
    <row r="106" spans="1:20" ht="52.5" customHeight="1">
      <c r="A106" s="12">
        <v>99</v>
      </c>
      <c r="B106" s="10" t="s">
        <v>64</v>
      </c>
      <c r="C106" s="10" t="s">
        <v>63</v>
      </c>
      <c r="D106" s="15">
        <v>1</v>
      </c>
      <c r="E106" s="8" t="s">
        <v>42</v>
      </c>
      <c r="F106" s="8">
        <v>4</v>
      </c>
      <c r="G106" s="67" t="s">
        <v>406</v>
      </c>
      <c r="H106" s="9"/>
      <c r="I106" s="28" t="s">
        <v>41</v>
      </c>
      <c r="J106" s="42"/>
      <c r="K106" s="42">
        <f>'Dados Detalhados'!$L$1013</f>
        <v>0</v>
      </c>
      <c r="L106" s="42"/>
      <c r="M106" s="78">
        <f t="shared" si="7"/>
        <v>0</v>
      </c>
      <c r="N106" s="78"/>
      <c r="O106" s="78"/>
      <c r="P106" s="78"/>
      <c r="Q106" s="78"/>
      <c r="R106" s="78"/>
      <c r="S106" s="78"/>
      <c r="T106" s="78">
        <f t="shared" si="9"/>
        <v>0</v>
      </c>
    </row>
    <row r="107" spans="1:20" ht="52.5" customHeight="1">
      <c r="A107" s="12">
        <v>100</v>
      </c>
      <c r="B107" s="10" t="s">
        <v>62</v>
      </c>
      <c r="C107" s="10" t="s">
        <v>61</v>
      </c>
      <c r="D107" s="15">
        <v>1</v>
      </c>
      <c r="E107" s="8" t="s">
        <v>42</v>
      </c>
      <c r="F107" s="8">
        <v>4</v>
      </c>
      <c r="G107" s="67" t="s">
        <v>406</v>
      </c>
      <c r="H107" s="9" t="s">
        <v>293</v>
      </c>
      <c r="I107" s="28" t="s">
        <v>41</v>
      </c>
      <c r="J107" s="42"/>
      <c r="K107" s="42">
        <f>'Dados Detalhados'!$L$1016</f>
        <v>0</v>
      </c>
      <c r="L107" s="42"/>
      <c r="M107" s="78">
        <f t="shared" si="7"/>
        <v>0</v>
      </c>
      <c r="N107" s="78"/>
      <c r="O107" s="78"/>
      <c r="P107" s="78"/>
      <c r="Q107" s="78"/>
      <c r="R107" s="78"/>
      <c r="S107" s="78"/>
      <c r="T107" s="78">
        <f t="shared" si="9"/>
        <v>0</v>
      </c>
    </row>
    <row r="108" spans="1:20" ht="52.5" customHeight="1">
      <c r="A108" s="12">
        <v>101</v>
      </c>
      <c r="B108" s="10" t="s">
        <v>60</v>
      </c>
      <c r="C108" s="10" t="s">
        <v>59</v>
      </c>
      <c r="D108" s="15">
        <v>1</v>
      </c>
      <c r="E108" s="8" t="s">
        <v>42</v>
      </c>
      <c r="F108" s="8">
        <v>4</v>
      </c>
      <c r="G108" s="67" t="s">
        <v>405</v>
      </c>
      <c r="H108" s="9" t="s">
        <v>292</v>
      </c>
      <c r="I108" s="28" t="s">
        <v>41</v>
      </c>
      <c r="J108" s="48"/>
      <c r="K108" s="48">
        <f>'Dados Detalhados'!$L$1024</f>
        <v>2621.6928999999996</v>
      </c>
      <c r="L108" s="48"/>
      <c r="M108" s="78">
        <f t="shared" si="7"/>
        <v>2621.6928999999996</v>
      </c>
      <c r="N108" s="78"/>
      <c r="O108" s="78"/>
      <c r="P108" s="78"/>
      <c r="Q108" s="78"/>
      <c r="R108" s="78">
        <f t="shared" si="11"/>
        <v>2621.6928999999996</v>
      </c>
      <c r="S108" s="78"/>
      <c r="T108" s="78"/>
    </row>
    <row r="109" spans="1:20" ht="52.5" customHeight="1">
      <c r="A109" s="12">
        <v>102</v>
      </c>
      <c r="B109" s="14" t="s">
        <v>58</v>
      </c>
      <c r="C109" s="14" t="s">
        <v>57</v>
      </c>
      <c r="D109" s="15">
        <v>1</v>
      </c>
      <c r="E109" s="8" t="s">
        <v>42</v>
      </c>
      <c r="F109" s="8">
        <v>4</v>
      </c>
      <c r="G109" s="67" t="s">
        <v>405</v>
      </c>
      <c r="H109" s="5" t="s">
        <v>291</v>
      </c>
      <c r="I109" s="28" t="s">
        <v>41</v>
      </c>
      <c r="J109" s="42"/>
      <c r="K109" s="42">
        <f>'Dados Detalhados'!$L$1026</f>
        <v>0</v>
      </c>
      <c r="L109" s="42"/>
      <c r="M109" s="78">
        <f t="shared" si="7"/>
        <v>0</v>
      </c>
      <c r="N109" s="78">
        <f t="shared" si="8"/>
        <v>0</v>
      </c>
      <c r="O109" s="78">
        <f t="shared" si="12"/>
        <v>0</v>
      </c>
      <c r="P109" s="78">
        <f t="shared" si="13"/>
        <v>0</v>
      </c>
      <c r="Q109" s="78">
        <f t="shared" si="10"/>
        <v>0</v>
      </c>
      <c r="R109" s="78">
        <f t="shared" si="11"/>
        <v>0</v>
      </c>
      <c r="S109" s="78"/>
      <c r="T109" s="78">
        <f t="shared" si="9"/>
        <v>0</v>
      </c>
    </row>
    <row r="110" spans="1:20" ht="52.5" customHeight="1">
      <c r="A110" s="12">
        <v>103</v>
      </c>
      <c r="B110" s="10" t="s">
        <v>56</v>
      </c>
      <c r="C110" s="14" t="s">
        <v>55</v>
      </c>
      <c r="D110" s="15">
        <v>1</v>
      </c>
      <c r="E110" s="8" t="s">
        <v>42</v>
      </c>
      <c r="F110" s="8">
        <v>4</v>
      </c>
      <c r="G110" s="67" t="s">
        <v>406</v>
      </c>
      <c r="H110" s="5"/>
      <c r="I110" s="28" t="s">
        <v>41</v>
      </c>
      <c r="J110" s="43"/>
      <c r="K110" s="43">
        <v>0</v>
      </c>
      <c r="L110" s="43"/>
      <c r="M110" s="78">
        <f t="shared" si="7"/>
        <v>0</v>
      </c>
      <c r="N110" s="78">
        <f t="shared" si="8"/>
        <v>0</v>
      </c>
      <c r="O110" s="78"/>
      <c r="P110" s="78"/>
      <c r="Q110" s="78"/>
      <c r="R110" s="78"/>
      <c r="S110" s="78"/>
      <c r="T110" s="78"/>
    </row>
    <row r="111" spans="1:20" ht="52.5" customHeight="1">
      <c r="A111" s="12">
        <v>104</v>
      </c>
      <c r="B111" s="10" t="s">
        <v>54</v>
      </c>
      <c r="C111" s="14" t="s">
        <v>53</v>
      </c>
      <c r="D111" s="15">
        <v>1</v>
      </c>
      <c r="E111" s="8" t="s">
        <v>42</v>
      </c>
      <c r="F111" s="8">
        <v>4</v>
      </c>
      <c r="G111" s="67" t="s">
        <v>406</v>
      </c>
      <c r="H111" s="5"/>
      <c r="I111" s="28" t="s">
        <v>41</v>
      </c>
      <c r="J111" s="43"/>
      <c r="K111" s="224">
        <f>'Dados Detalhados'!$L$1045</f>
        <v>9994.2199999999993</v>
      </c>
      <c r="L111" s="43"/>
      <c r="M111" s="78">
        <f t="shared" si="7"/>
        <v>9994.2199999999993</v>
      </c>
      <c r="N111" s="78">
        <f t="shared" si="8"/>
        <v>9994.2199999999993</v>
      </c>
      <c r="O111" s="78"/>
      <c r="P111" s="78"/>
      <c r="Q111" s="78"/>
      <c r="R111" s="78"/>
      <c r="S111" s="78"/>
      <c r="T111" s="78"/>
    </row>
    <row r="112" spans="1:20" ht="52.5" customHeight="1">
      <c r="A112" s="12">
        <v>105</v>
      </c>
      <c r="B112" s="10" t="s">
        <v>52</v>
      </c>
      <c r="C112" s="14" t="s">
        <v>51</v>
      </c>
      <c r="D112" s="15">
        <v>1</v>
      </c>
      <c r="E112" s="8" t="s">
        <v>42</v>
      </c>
      <c r="F112" s="8">
        <v>4</v>
      </c>
      <c r="G112" s="67" t="s">
        <v>405</v>
      </c>
      <c r="H112" s="5"/>
      <c r="I112" s="28" t="s">
        <v>41</v>
      </c>
      <c r="J112" s="42"/>
      <c r="K112" s="42">
        <f>'Dados Detalhados'!$L$1061</f>
        <v>0</v>
      </c>
      <c r="L112" s="42"/>
      <c r="M112" s="78">
        <f t="shared" si="7"/>
        <v>0</v>
      </c>
      <c r="N112" s="78">
        <f t="shared" si="8"/>
        <v>0</v>
      </c>
      <c r="O112" s="78">
        <f t="shared" si="12"/>
        <v>0</v>
      </c>
      <c r="P112" s="78">
        <f t="shared" si="13"/>
        <v>0</v>
      </c>
      <c r="Q112" s="78">
        <f t="shared" si="10"/>
        <v>0</v>
      </c>
      <c r="R112" s="78">
        <f t="shared" si="11"/>
        <v>0</v>
      </c>
      <c r="S112" s="78"/>
      <c r="T112" s="78">
        <f t="shared" si="9"/>
        <v>0</v>
      </c>
    </row>
    <row r="113" spans="1:20" ht="52.5" customHeight="1">
      <c r="A113" s="12">
        <v>106</v>
      </c>
      <c r="B113" s="10" t="s">
        <v>50</v>
      </c>
      <c r="C113" s="14" t="s">
        <v>49</v>
      </c>
      <c r="D113" s="15">
        <v>1</v>
      </c>
      <c r="E113" s="8" t="s">
        <v>42</v>
      </c>
      <c r="F113" s="8">
        <v>4</v>
      </c>
      <c r="G113" s="67" t="s">
        <v>405</v>
      </c>
      <c r="H113" s="5"/>
      <c r="I113" s="28" t="s">
        <v>41</v>
      </c>
      <c r="J113" s="42"/>
      <c r="K113" s="42">
        <f>'Dados Detalhados'!$L$1063</f>
        <v>0</v>
      </c>
      <c r="L113" s="42"/>
      <c r="M113" s="78">
        <f t="shared" si="7"/>
        <v>0</v>
      </c>
      <c r="N113" s="78">
        <f t="shared" si="8"/>
        <v>0</v>
      </c>
      <c r="O113" s="78">
        <f t="shared" si="12"/>
        <v>0</v>
      </c>
      <c r="P113" s="78">
        <f t="shared" si="13"/>
        <v>0</v>
      </c>
      <c r="Q113" s="78">
        <f t="shared" si="10"/>
        <v>0</v>
      </c>
      <c r="R113" s="78">
        <f t="shared" si="11"/>
        <v>0</v>
      </c>
      <c r="S113" s="78"/>
      <c r="T113" s="78">
        <f t="shared" si="9"/>
        <v>0</v>
      </c>
    </row>
    <row r="114" spans="1:20" ht="52.5" customHeight="1">
      <c r="A114" s="12">
        <v>107</v>
      </c>
      <c r="B114" s="10" t="s">
        <v>48</v>
      </c>
      <c r="C114" s="14" t="s">
        <v>47</v>
      </c>
      <c r="D114" s="15">
        <v>1</v>
      </c>
      <c r="E114" s="8" t="s">
        <v>42</v>
      </c>
      <c r="F114" s="8">
        <v>4</v>
      </c>
      <c r="G114" s="67" t="s">
        <v>405</v>
      </c>
      <c r="H114" s="5"/>
      <c r="I114" s="28" t="s">
        <v>41</v>
      </c>
      <c r="J114" s="42"/>
      <c r="K114" s="42">
        <f>'Dados Detalhados'!$L$1065</f>
        <v>0</v>
      </c>
      <c r="L114" s="42"/>
      <c r="M114" s="78">
        <f t="shared" si="7"/>
        <v>0</v>
      </c>
      <c r="N114" s="78">
        <f t="shared" si="8"/>
        <v>0</v>
      </c>
      <c r="O114" s="78">
        <f t="shared" si="12"/>
        <v>0</v>
      </c>
      <c r="P114" s="78">
        <f t="shared" si="13"/>
        <v>0</v>
      </c>
      <c r="Q114" s="78">
        <f t="shared" si="10"/>
        <v>0</v>
      </c>
      <c r="R114" s="78">
        <f t="shared" si="11"/>
        <v>0</v>
      </c>
      <c r="S114" s="78"/>
      <c r="T114" s="78">
        <f t="shared" si="9"/>
        <v>0</v>
      </c>
    </row>
    <row r="115" spans="1:20" ht="52.5" customHeight="1">
      <c r="A115" s="12">
        <v>108</v>
      </c>
      <c r="B115" s="10" t="s">
        <v>46</v>
      </c>
      <c r="C115" s="14" t="s">
        <v>45</v>
      </c>
      <c r="D115" s="15">
        <v>1</v>
      </c>
      <c r="E115" s="8" t="s">
        <v>42</v>
      </c>
      <c r="F115" s="8">
        <v>4</v>
      </c>
      <c r="G115" s="67" t="s">
        <v>406</v>
      </c>
      <c r="H115" s="5"/>
      <c r="I115" s="28" t="s">
        <v>41</v>
      </c>
      <c r="J115" s="42"/>
      <c r="K115" s="42">
        <f>'Dados Detalhados'!$L$1067</f>
        <v>2000</v>
      </c>
      <c r="L115" s="42"/>
      <c r="M115" s="78">
        <f t="shared" si="7"/>
        <v>2000</v>
      </c>
      <c r="N115" s="78"/>
      <c r="O115" s="78"/>
      <c r="P115" s="78"/>
      <c r="Q115" s="78"/>
      <c r="R115" s="78"/>
      <c r="S115" s="78"/>
      <c r="T115" s="78">
        <f t="shared" si="9"/>
        <v>2000</v>
      </c>
    </row>
    <row r="116" spans="1:20" ht="52.5" customHeight="1">
      <c r="A116" s="12">
        <v>109</v>
      </c>
      <c r="B116" s="26" t="s">
        <v>44</v>
      </c>
      <c r="C116" s="14" t="s">
        <v>43</v>
      </c>
      <c r="D116" s="15">
        <v>1</v>
      </c>
      <c r="E116" s="8" t="s">
        <v>42</v>
      </c>
      <c r="F116" s="8">
        <v>4</v>
      </c>
      <c r="G116" s="67" t="s">
        <v>406</v>
      </c>
      <c r="H116" s="5"/>
      <c r="I116" s="28" t="s">
        <v>41</v>
      </c>
      <c r="J116" s="43"/>
      <c r="K116" s="43">
        <v>0</v>
      </c>
      <c r="L116" s="43"/>
      <c r="M116" s="78">
        <f t="shared" si="7"/>
        <v>0</v>
      </c>
      <c r="N116" s="78"/>
      <c r="O116" s="78"/>
      <c r="P116" s="78"/>
      <c r="Q116" s="78"/>
      <c r="R116" s="78">
        <f t="shared" si="11"/>
        <v>0</v>
      </c>
      <c r="S116" s="78"/>
      <c r="T116" s="78"/>
    </row>
    <row r="117" spans="1:20" ht="52.5" customHeight="1">
      <c r="A117" s="12">
        <v>110</v>
      </c>
      <c r="B117" s="10" t="s">
        <v>40</v>
      </c>
      <c r="C117" s="14" t="s">
        <v>39</v>
      </c>
      <c r="D117" s="6">
        <v>1</v>
      </c>
      <c r="E117" s="8" t="s">
        <v>4</v>
      </c>
      <c r="F117" s="8">
        <v>5</v>
      </c>
      <c r="G117" s="66" t="s">
        <v>410</v>
      </c>
      <c r="H117" s="5" t="s">
        <v>290</v>
      </c>
      <c r="I117" s="28" t="s">
        <v>3</v>
      </c>
      <c r="J117" s="43"/>
      <c r="K117" s="224">
        <f>'Dados Detalhados'!$L$1097</f>
        <v>2070.59</v>
      </c>
      <c r="L117" s="43"/>
      <c r="M117" s="78">
        <f t="shared" si="7"/>
        <v>2070.59</v>
      </c>
      <c r="N117" s="78">
        <f t="shared" si="8"/>
        <v>2070.59</v>
      </c>
      <c r="O117" s="78"/>
      <c r="P117" s="78"/>
      <c r="Q117" s="78"/>
      <c r="R117" s="78"/>
      <c r="S117" s="78"/>
      <c r="T117" s="78"/>
    </row>
    <row r="118" spans="1:20" ht="52.5" customHeight="1">
      <c r="A118" s="12">
        <v>111</v>
      </c>
      <c r="B118" s="10" t="s">
        <v>38</v>
      </c>
      <c r="C118" s="14" t="s">
        <v>37</v>
      </c>
      <c r="D118" s="6">
        <v>1</v>
      </c>
      <c r="E118" s="8" t="s">
        <v>4</v>
      </c>
      <c r="F118" s="8">
        <v>5</v>
      </c>
      <c r="G118" s="66" t="s">
        <v>410</v>
      </c>
      <c r="H118" s="5" t="s">
        <v>289</v>
      </c>
      <c r="I118" s="28" t="s">
        <v>3</v>
      </c>
      <c r="J118" s="43"/>
      <c r="K118" s="43">
        <v>0</v>
      </c>
      <c r="L118" s="43"/>
      <c r="M118" s="78">
        <f t="shared" si="7"/>
        <v>0</v>
      </c>
      <c r="N118" s="78">
        <f t="shared" si="8"/>
        <v>0</v>
      </c>
      <c r="O118" s="78"/>
      <c r="P118" s="78"/>
      <c r="Q118" s="78"/>
      <c r="R118" s="78"/>
      <c r="S118" s="78"/>
      <c r="T118" s="78"/>
    </row>
    <row r="119" spans="1:20" ht="52.5" hidden="1" customHeight="1">
      <c r="A119" s="12">
        <v>112</v>
      </c>
      <c r="B119" s="10" t="s">
        <v>36</v>
      </c>
      <c r="C119" s="14" t="s">
        <v>903</v>
      </c>
      <c r="D119" s="6">
        <v>2</v>
      </c>
      <c r="E119" s="8" t="s">
        <v>4</v>
      </c>
      <c r="F119" s="8">
        <v>5</v>
      </c>
      <c r="G119" s="66" t="s">
        <v>410</v>
      </c>
      <c r="H119" s="5" t="s">
        <v>288</v>
      </c>
      <c r="I119" s="28" t="s">
        <v>3</v>
      </c>
      <c r="J119" s="224"/>
      <c r="K119" s="224">
        <f>'Dados Detalhados'!$L$1138</f>
        <v>4411.3900000000003</v>
      </c>
      <c r="L119" s="43"/>
      <c r="M119" s="78">
        <f t="shared" si="7"/>
        <v>4411.3900000000003</v>
      </c>
      <c r="N119" s="78">
        <f t="shared" si="8"/>
        <v>4411.3900000000003</v>
      </c>
      <c r="O119" s="78"/>
      <c r="P119" s="78"/>
      <c r="Q119" s="78"/>
      <c r="R119" s="78"/>
      <c r="S119" s="78"/>
      <c r="T119" s="78"/>
    </row>
    <row r="120" spans="1:20" ht="52.5" customHeight="1">
      <c r="A120" s="12">
        <v>113</v>
      </c>
      <c r="B120" s="10" t="s">
        <v>33</v>
      </c>
      <c r="C120" s="14" t="s">
        <v>32</v>
      </c>
      <c r="D120" s="6">
        <v>1</v>
      </c>
      <c r="E120" s="8" t="s">
        <v>4</v>
      </c>
      <c r="F120" s="8">
        <v>5</v>
      </c>
      <c r="G120" s="66" t="s">
        <v>407</v>
      </c>
      <c r="H120" s="9" t="s">
        <v>288</v>
      </c>
      <c r="I120" s="28" t="s">
        <v>3</v>
      </c>
      <c r="J120" s="226"/>
      <c r="K120" s="43">
        <v>0</v>
      </c>
      <c r="L120" s="43"/>
      <c r="M120" s="78">
        <f t="shared" si="7"/>
        <v>0</v>
      </c>
      <c r="N120" s="78">
        <f>+J120/2</f>
        <v>0</v>
      </c>
      <c r="O120" s="78">
        <f>+J120/2</f>
        <v>0</v>
      </c>
      <c r="P120" s="78"/>
      <c r="Q120" s="78"/>
      <c r="R120" s="78"/>
      <c r="S120" s="78"/>
      <c r="T120" s="78"/>
    </row>
    <row r="121" spans="1:20" ht="52.5" customHeight="1">
      <c r="A121" s="12">
        <v>114</v>
      </c>
      <c r="B121" s="10" t="s">
        <v>31</v>
      </c>
      <c r="C121" s="14" t="s">
        <v>30</v>
      </c>
      <c r="D121" s="6">
        <v>1</v>
      </c>
      <c r="E121" s="8" t="s">
        <v>4</v>
      </c>
      <c r="F121" s="8">
        <v>5</v>
      </c>
      <c r="G121" s="66" t="s">
        <v>407</v>
      </c>
      <c r="H121" s="5" t="s">
        <v>287</v>
      </c>
      <c r="I121" s="28" t="s">
        <v>3</v>
      </c>
      <c r="J121" s="43"/>
      <c r="K121" s="43">
        <v>0</v>
      </c>
      <c r="L121" s="43"/>
      <c r="M121" s="78">
        <f t="shared" si="7"/>
        <v>0</v>
      </c>
      <c r="N121" s="78"/>
      <c r="O121" s="78">
        <f t="shared" si="12"/>
        <v>0</v>
      </c>
      <c r="P121" s="78"/>
      <c r="Q121" s="78"/>
      <c r="R121" s="78"/>
      <c r="S121" s="78"/>
      <c r="T121" s="78"/>
    </row>
    <row r="122" spans="1:20" ht="52.5" customHeight="1">
      <c r="A122" s="12">
        <v>115</v>
      </c>
      <c r="B122" s="10" t="s">
        <v>29</v>
      </c>
      <c r="C122" s="59" t="s">
        <v>28</v>
      </c>
      <c r="D122" s="58">
        <v>1</v>
      </c>
      <c r="E122" s="57" t="s">
        <v>4</v>
      </c>
      <c r="F122" s="8">
        <v>5</v>
      </c>
      <c r="G122" s="66" t="s">
        <v>407</v>
      </c>
      <c r="H122" s="5" t="s">
        <v>286</v>
      </c>
      <c r="I122" s="28" t="s">
        <v>3</v>
      </c>
      <c r="J122" s="234"/>
      <c r="K122" s="234">
        <f>'Dados Detalhados'!$L$1169</f>
        <v>21897</v>
      </c>
      <c r="L122" s="234"/>
      <c r="M122" s="78">
        <f t="shared" si="7"/>
        <v>21897</v>
      </c>
      <c r="N122" s="78">
        <f t="shared" si="8"/>
        <v>21897</v>
      </c>
      <c r="O122" s="78"/>
      <c r="P122" s="78"/>
      <c r="Q122" s="78"/>
      <c r="R122" s="78"/>
      <c r="S122" s="78"/>
      <c r="T122" s="78"/>
    </row>
    <row r="123" spans="1:20" ht="52.5" customHeight="1">
      <c r="A123" s="12">
        <v>116</v>
      </c>
      <c r="B123" s="11" t="s">
        <v>27</v>
      </c>
      <c r="C123" s="11" t="s">
        <v>26</v>
      </c>
      <c r="D123" s="6">
        <v>1</v>
      </c>
      <c r="E123" s="8" t="s">
        <v>4</v>
      </c>
      <c r="F123" s="8">
        <v>5</v>
      </c>
      <c r="G123" s="66" t="s">
        <v>407</v>
      </c>
      <c r="H123" s="5" t="s">
        <v>286</v>
      </c>
      <c r="I123" s="28" t="s">
        <v>3</v>
      </c>
      <c r="J123" s="235"/>
      <c r="K123" s="235">
        <f>'Dados Detalhados'!$L$1175</f>
        <v>14400</v>
      </c>
      <c r="L123" s="234"/>
      <c r="M123" s="78">
        <f t="shared" si="7"/>
        <v>14400</v>
      </c>
      <c r="N123" s="78">
        <f>+L123</f>
        <v>0</v>
      </c>
      <c r="O123" s="78">
        <f>SUM(J123:K123)</f>
        <v>14400</v>
      </c>
      <c r="P123" s="78"/>
      <c r="Q123" s="78"/>
      <c r="R123" s="78"/>
      <c r="S123" s="78"/>
      <c r="T123" s="78"/>
    </row>
    <row r="124" spans="1:20" ht="52.5" customHeight="1">
      <c r="A124" s="12">
        <v>117</v>
      </c>
      <c r="B124" s="11" t="s">
        <v>25</v>
      </c>
      <c r="C124" s="11" t="s">
        <v>24</v>
      </c>
      <c r="D124" s="6">
        <v>1</v>
      </c>
      <c r="E124" s="8" t="s">
        <v>4</v>
      </c>
      <c r="F124" s="8">
        <v>5</v>
      </c>
      <c r="G124" s="66" t="s">
        <v>407</v>
      </c>
      <c r="H124" s="5" t="s">
        <v>285</v>
      </c>
      <c r="I124" s="28" t="s">
        <v>3</v>
      </c>
      <c r="J124" s="224"/>
      <c r="K124" s="224">
        <f>'Dados Detalhados'!$L$1177</f>
        <v>1003.33</v>
      </c>
      <c r="L124" s="224"/>
      <c r="M124" s="78">
        <f t="shared" si="7"/>
        <v>1003.33</v>
      </c>
      <c r="N124" s="78">
        <f t="shared" si="8"/>
        <v>1003.33</v>
      </c>
      <c r="O124" s="78"/>
      <c r="P124" s="78"/>
      <c r="Q124" s="78"/>
      <c r="R124" s="78"/>
      <c r="S124" s="78"/>
      <c r="T124" s="78"/>
    </row>
    <row r="125" spans="1:20" ht="52.5" hidden="1" customHeight="1">
      <c r="A125" s="12">
        <v>118</v>
      </c>
      <c r="B125" s="1" t="s">
        <v>23</v>
      </c>
      <c r="C125" s="1" t="s">
        <v>22</v>
      </c>
      <c r="D125" s="6">
        <v>2</v>
      </c>
      <c r="E125" s="8" t="s">
        <v>4</v>
      </c>
      <c r="F125" s="8">
        <v>5</v>
      </c>
      <c r="G125" s="66" t="s">
        <v>410</v>
      </c>
      <c r="H125" s="7" t="s">
        <v>284</v>
      </c>
      <c r="I125" s="28" t="s">
        <v>3</v>
      </c>
      <c r="J125" s="42"/>
      <c r="K125" s="42">
        <f>'Dados Detalhados'!$L$1179</f>
        <v>0</v>
      </c>
      <c r="L125" s="42"/>
      <c r="M125" s="78">
        <f t="shared" si="7"/>
        <v>0</v>
      </c>
      <c r="N125" s="78">
        <f t="shared" si="8"/>
        <v>0</v>
      </c>
      <c r="O125" s="78">
        <f t="shared" si="12"/>
        <v>0</v>
      </c>
      <c r="P125" s="78">
        <f t="shared" si="13"/>
        <v>0</v>
      </c>
      <c r="Q125" s="78">
        <f t="shared" si="10"/>
        <v>0</v>
      </c>
      <c r="R125" s="78">
        <f t="shared" si="11"/>
        <v>0</v>
      </c>
      <c r="S125" s="78"/>
      <c r="T125" s="78">
        <f t="shared" si="9"/>
        <v>0</v>
      </c>
    </row>
    <row r="126" spans="1:20" ht="52.5" customHeight="1">
      <c r="A126" s="12">
        <v>119</v>
      </c>
      <c r="B126" s="11" t="s">
        <v>21</v>
      </c>
      <c r="C126" s="11" t="s">
        <v>20</v>
      </c>
      <c r="D126" s="6">
        <v>1</v>
      </c>
      <c r="E126" s="8" t="s">
        <v>4</v>
      </c>
      <c r="F126" s="8">
        <v>5</v>
      </c>
      <c r="G126" s="66" t="s">
        <v>402</v>
      </c>
      <c r="H126" s="5" t="s">
        <v>283</v>
      </c>
      <c r="I126" s="28" t="s">
        <v>3</v>
      </c>
      <c r="J126" s="224"/>
      <c r="K126" s="224">
        <f>'Dados Detalhados'!$L$1186</f>
        <v>19674</v>
      </c>
      <c r="L126" s="224"/>
      <c r="M126" s="78">
        <f t="shared" si="7"/>
        <v>19674</v>
      </c>
      <c r="N126" s="78">
        <f t="shared" si="8"/>
        <v>19674</v>
      </c>
      <c r="O126" s="78"/>
      <c r="P126" s="78"/>
      <c r="Q126" s="78"/>
      <c r="R126" s="78"/>
      <c r="S126" s="78"/>
      <c r="T126" s="78"/>
    </row>
    <row r="127" spans="1:20" ht="52.5" customHeight="1">
      <c r="A127" s="12"/>
      <c r="B127" s="11" t="s">
        <v>854</v>
      </c>
      <c r="C127" s="11" t="s">
        <v>855</v>
      </c>
      <c r="D127" s="6">
        <v>1</v>
      </c>
      <c r="E127" s="8" t="s">
        <v>4</v>
      </c>
      <c r="F127" s="8">
        <v>6</v>
      </c>
      <c r="G127" s="66" t="s">
        <v>402</v>
      </c>
      <c r="H127" s="5"/>
      <c r="I127" s="28"/>
      <c r="J127" s="48"/>
      <c r="K127" s="48">
        <f>'Dados Detalhados'!$L$1188</f>
        <v>238.1</v>
      </c>
      <c r="L127" s="48"/>
      <c r="M127" s="78">
        <f t="shared" si="7"/>
        <v>238.1</v>
      </c>
      <c r="N127" s="78"/>
      <c r="O127" s="78"/>
      <c r="P127" s="78"/>
      <c r="Q127" s="78"/>
      <c r="R127" s="78">
        <f t="shared" si="11"/>
        <v>238.1</v>
      </c>
      <c r="S127" s="78"/>
      <c r="T127" s="78"/>
    </row>
    <row r="128" spans="1:20" ht="52.5" hidden="1" customHeight="1">
      <c r="A128" s="12">
        <v>120</v>
      </c>
      <c r="B128" s="11" t="s">
        <v>19</v>
      </c>
      <c r="C128" s="11" t="s">
        <v>18</v>
      </c>
      <c r="D128" s="6">
        <v>2</v>
      </c>
      <c r="E128" s="8" t="s">
        <v>4</v>
      </c>
      <c r="F128" s="8">
        <v>5</v>
      </c>
      <c r="G128" s="66" t="s">
        <v>402</v>
      </c>
      <c r="H128" s="5" t="s">
        <v>281</v>
      </c>
      <c r="I128" s="28" t="s">
        <v>3</v>
      </c>
      <c r="J128" s="224"/>
      <c r="K128" s="224">
        <f>'Dados Detalhados'!$L$1193</f>
        <v>9523.81</v>
      </c>
      <c r="L128" s="224"/>
      <c r="M128" s="78">
        <f t="shared" si="7"/>
        <v>9523.81</v>
      </c>
      <c r="N128" s="78">
        <f t="shared" si="8"/>
        <v>9523.81</v>
      </c>
      <c r="O128" s="78"/>
      <c r="P128" s="78"/>
      <c r="Q128" s="78"/>
      <c r="R128" s="78"/>
      <c r="S128" s="78"/>
      <c r="T128" s="78"/>
    </row>
    <row r="129" spans="1:20" ht="52.5" customHeight="1">
      <c r="A129" s="12">
        <v>121</v>
      </c>
      <c r="B129" s="11" t="s">
        <v>17</v>
      </c>
      <c r="C129" s="11" t="s">
        <v>16</v>
      </c>
      <c r="D129" s="6">
        <v>1</v>
      </c>
      <c r="E129" s="8" t="s">
        <v>4</v>
      </c>
      <c r="F129" s="8">
        <v>5</v>
      </c>
      <c r="G129" s="66" t="s">
        <v>410</v>
      </c>
      <c r="H129" s="5" t="s">
        <v>280</v>
      </c>
      <c r="I129" s="28" t="s">
        <v>3</v>
      </c>
      <c r="J129" s="224"/>
      <c r="K129" s="224">
        <f>'Dados Detalhados'!$L$1203</f>
        <v>1423.33</v>
      </c>
      <c r="L129" s="224"/>
      <c r="M129" s="78">
        <f t="shared" si="7"/>
        <v>1423.33</v>
      </c>
      <c r="N129" s="78">
        <f t="shared" si="8"/>
        <v>1423.33</v>
      </c>
      <c r="O129" s="78"/>
      <c r="P129" s="78"/>
      <c r="Q129" s="78"/>
      <c r="R129" s="78"/>
      <c r="S129" s="78"/>
      <c r="T129" s="78"/>
    </row>
    <row r="130" spans="1:20" ht="52.5" customHeight="1">
      <c r="A130" s="12">
        <v>122</v>
      </c>
      <c r="B130" s="11" t="s">
        <v>15</v>
      </c>
      <c r="C130" s="11" t="s">
        <v>14</v>
      </c>
      <c r="D130" s="6">
        <v>1</v>
      </c>
      <c r="E130" s="8" t="s">
        <v>4</v>
      </c>
      <c r="F130" s="8">
        <v>5</v>
      </c>
      <c r="G130" s="66" t="s">
        <v>410</v>
      </c>
      <c r="H130" s="5" t="s">
        <v>279</v>
      </c>
      <c r="I130" s="28" t="s">
        <v>3</v>
      </c>
      <c r="J130" s="48"/>
      <c r="K130" s="48">
        <f>'Dados Detalhados'!$L$1205</f>
        <v>747.33</v>
      </c>
      <c r="L130" s="48"/>
      <c r="M130" s="78">
        <f t="shared" si="7"/>
        <v>747.33</v>
      </c>
      <c r="N130" s="78"/>
      <c r="O130" s="78"/>
      <c r="P130" s="78"/>
      <c r="Q130" s="78"/>
      <c r="R130" s="78">
        <f t="shared" si="11"/>
        <v>747.33</v>
      </c>
      <c r="S130" s="78"/>
      <c r="T130" s="78"/>
    </row>
    <row r="131" spans="1:20" ht="52.5" customHeight="1">
      <c r="A131" s="12">
        <v>123</v>
      </c>
      <c r="B131" s="11" t="s">
        <v>13</v>
      </c>
      <c r="C131" s="11" t="s">
        <v>12</v>
      </c>
      <c r="D131" s="6">
        <v>1</v>
      </c>
      <c r="E131" s="8" t="s">
        <v>4</v>
      </c>
      <c r="F131" s="8">
        <v>5</v>
      </c>
      <c r="G131" s="66" t="s">
        <v>407</v>
      </c>
      <c r="H131" s="9"/>
      <c r="I131" s="28" t="s">
        <v>3</v>
      </c>
      <c r="J131" s="42"/>
      <c r="K131" s="42">
        <f>'Dados Detalhados'!$L$1208</f>
        <v>0</v>
      </c>
      <c r="L131" s="42"/>
      <c r="M131" s="78">
        <f t="shared" si="7"/>
        <v>0</v>
      </c>
      <c r="N131" s="78">
        <f t="shared" si="8"/>
        <v>0</v>
      </c>
      <c r="O131" s="78">
        <f t="shared" si="12"/>
        <v>0</v>
      </c>
      <c r="P131" s="78">
        <f t="shared" si="13"/>
        <v>0</v>
      </c>
      <c r="Q131" s="78">
        <f t="shared" si="10"/>
        <v>0</v>
      </c>
      <c r="R131" s="78">
        <f t="shared" si="11"/>
        <v>0</v>
      </c>
      <c r="S131" s="78"/>
      <c r="T131" s="78">
        <f t="shared" si="9"/>
        <v>0</v>
      </c>
    </row>
    <row r="132" spans="1:20" ht="52.5" hidden="1" customHeight="1">
      <c r="A132" s="12">
        <v>124</v>
      </c>
      <c r="B132" s="11" t="s">
        <v>11</v>
      </c>
      <c r="C132" s="11" t="s">
        <v>10</v>
      </c>
      <c r="D132" s="6">
        <v>2</v>
      </c>
      <c r="E132" s="8" t="s">
        <v>4</v>
      </c>
      <c r="F132" s="8">
        <v>5</v>
      </c>
      <c r="G132" s="66" t="s">
        <v>410</v>
      </c>
      <c r="H132" s="9"/>
      <c r="I132" s="28" t="s">
        <v>3</v>
      </c>
      <c r="J132" s="42"/>
      <c r="K132" s="42">
        <f>'Dados Detalhados'!$L$1210</f>
        <v>0</v>
      </c>
      <c r="L132" s="42"/>
      <c r="M132" s="78">
        <f t="shared" si="7"/>
        <v>0</v>
      </c>
      <c r="N132" s="78">
        <f t="shared" si="8"/>
        <v>0</v>
      </c>
      <c r="O132" s="78">
        <f t="shared" si="12"/>
        <v>0</v>
      </c>
      <c r="P132" s="78">
        <f t="shared" si="13"/>
        <v>0</v>
      </c>
      <c r="Q132" s="78">
        <f t="shared" si="10"/>
        <v>0</v>
      </c>
      <c r="R132" s="78">
        <f t="shared" si="11"/>
        <v>0</v>
      </c>
      <c r="S132" s="78"/>
      <c r="T132" s="78">
        <f t="shared" si="9"/>
        <v>0</v>
      </c>
    </row>
    <row r="133" spans="1:20" ht="52.5" customHeight="1">
      <c r="A133" s="12">
        <v>125</v>
      </c>
      <c r="B133" s="11" t="s">
        <v>9</v>
      </c>
      <c r="C133" s="11" t="s">
        <v>8</v>
      </c>
      <c r="D133" s="6">
        <v>1</v>
      </c>
      <c r="E133" s="8" t="s">
        <v>4</v>
      </c>
      <c r="F133" s="8">
        <v>5</v>
      </c>
      <c r="G133" s="66" t="s">
        <v>402</v>
      </c>
      <c r="H133" s="9"/>
      <c r="I133" s="28" t="s">
        <v>3</v>
      </c>
      <c r="J133" s="224"/>
      <c r="K133" s="42">
        <f>'Dados Detalhados'!$L$1216</f>
        <v>0</v>
      </c>
      <c r="L133" s="42"/>
      <c r="M133" s="78">
        <f t="shared" si="7"/>
        <v>0</v>
      </c>
      <c r="N133" s="78">
        <f t="shared" si="8"/>
        <v>0</v>
      </c>
      <c r="O133" s="78"/>
      <c r="P133" s="78"/>
      <c r="Q133" s="78"/>
      <c r="R133" s="78"/>
      <c r="S133" s="78"/>
      <c r="T133" s="78"/>
    </row>
    <row r="134" spans="1:20" ht="61.5" customHeight="1">
      <c r="A134" s="12">
        <v>126</v>
      </c>
      <c r="B134" s="11" t="s">
        <v>7</v>
      </c>
      <c r="C134" s="11" t="s">
        <v>364</v>
      </c>
      <c r="D134" s="6">
        <v>1</v>
      </c>
      <c r="E134" s="8" t="s">
        <v>4</v>
      </c>
      <c r="F134" s="8">
        <v>5</v>
      </c>
      <c r="G134" s="66" t="s">
        <v>402</v>
      </c>
      <c r="H134" s="9"/>
      <c r="I134" s="28" t="s">
        <v>3</v>
      </c>
      <c r="J134" s="224"/>
      <c r="K134" s="43">
        <v>0</v>
      </c>
      <c r="L134" s="43"/>
      <c r="M134" s="78">
        <f t="shared" ref="M134:M159" si="14">+J134+K134+L134</f>
        <v>0</v>
      </c>
      <c r="N134" s="78">
        <f t="shared" si="8"/>
        <v>0</v>
      </c>
      <c r="O134" s="78"/>
      <c r="P134" s="78"/>
      <c r="Q134" s="78"/>
      <c r="R134" s="78"/>
      <c r="S134" s="78"/>
      <c r="T134" s="78"/>
    </row>
    <row r="135" spans="1:20" ht="52.5" customHeight="1">
      <c r="A135" s="12">
        <v>127</v>
      </c>
      <c r="B135" s="11" t="s">
        <v>6</v>
      </c>
      <c r="C135" s="52" t="s">
        <v>386</v>
      </c>
      <c r="D135" s="6">
        <v>1</v>
      </c>
      <c r="E135" s="33" t="s">
        <v>4</v>
      </c>
      <c r="F135" s="8">
        <v>5</v>
      </c>
      <c r="G135" s="66" t="s">
        <v>410</v>
      </c>
      <c r="H135" s="55"/>
      <c r="I135" s="50" t="s">
        <v>3</v>
      </c>
      <c r="J135" s="236"/>
      <c r="K135" s="236">
        <f>'Dados Detalhados'!$L$1234</f>
        <v>152.30000000000001</v>
      </c>
      <c r="L135" s="236"/>
      <c r="M135" s="78">
        <f t="shared" si="14"/>
        <v>152.30000000000001</v>
      </c>
      <c r="N135" s="78"/>
      <c r="O135" s="78"/>
      <c r="P135" s="78"/>
      <c r="Q135" s="78"/>
      <c r="R135" s="78">
        <f t="shared" ref="R135:R151" si="15">+M135</f>
        <v>152.30000000000001</v>
      </c>
      <c r="S135" s="78"/>
      <c r="T135" s="78"/>
    </row>
    <row r="136" spans="1:20" ht="52.5" customHeight="1">
      <c r="A136" s="12">
        <v>128</v>
      </c>
      <c r="B136" s="11" t="s">
        <v>5</v>
      </c>
      <c r="C136" s="52" t="s">
        <v>373</v>
      </c>
      <c r="D136" s="56">
        <v>1</v>
      </c>
      <c r="E136" s="33" t="s">
        <v>4</v>
      </c>
      <c r="F136" s="8">
        <v>5</v>
      </c>
      <c r="G136" s="66" t="s">
        <v>410</v>
      </c>
      <c r="H136" s="55"/>
      <c r="I136" s="50" t="s">
        <v>3</v>
      </c>
      <c r="J136" s="237"/>
      <c r="K136" s="69">
        <f>'Dados Detalhados'!$L$1240</f>
        <v>0</v>
      </c>
      <c r="L136" s="69"/>
      <c r="M136" s="78">
        <f t="shared" si="14"/>
        <v>0</v>
      </c>
      <c r="N136" s="78">
        <f t="shared" ref="N136:N157" si="16">+M136</f>
        <v>0</v>
      </c>
      <c r="O136" s="78"/>
      <c r="P136" s="78"/>
      <c r="Q136" s="78"/>
      <c r="R136" s="78"/>
      <c r="S136" s="78"/>
      <c r="T136" s="78"/>
    </row>
    <row r="137" spans="1:20" ht="52.5" hidden="1" customHeight="1">
      <c r="A137" s="12">
        <v>129</v>
      </c>
      <c r="B137" s="11" t="s">
        <v>341</v>
      </c>
      <c r="C137" s="52" t="s">
        <v>374</v>
      </c>
      <c r="D137" s="56">
        <v>2</v>
      </c>
      <c r="E137" s="33" t="s">
        <v>4</v>
      </c>
      <c r="F137" s="8">
        <v>5</v>
      </c>
      <c r="G137" s="66" t="s">
        <v>407</v>
      </c>
      <c r="H137" s="55"/>
      <c r="I137" s="50" t="s">
        <v>3</v>
      </c>
      <c r="J137" s="69"/>
      <c r="K137" s="69">
        <f>'Dados Detalhados'!$L$1250</f>
        <v>0</v>
      </c>
      <c r="L137" s="69"/>
      <c r="M137" s="78">
        <f t="shared" si="14"/>
        <v>0</v>
      </c>
      <c r="N137" s="78"/>
      <c r="O137" s="78"/>
      <c r="P137" s="78"/>
      <c r="Q137" s="78"/>
      <c r="R137" s="78"/>
      <c r="S137" s="78"/>
      <c r="T137" s="78">
        <f t="shared" si="9"/>
        <v>0</v>
      </c>
    </row>
    <row r="138" spans="1:20" ht="52.5" customHeight="1">
      <c r="A138" s="12">
        <v>130</v>
      </c>
      <c r="B138" s="11" t="s">
        <v>342</v>
      </c>
      <c r="C138" s="52" t="s">
        <v>375</v>
      </c>
      <c r="D138" s="56">
        <v>1</v>
      </c>
      <c r="E138" s="33" t="s">
        <v>4</v>
      </c>
      <c r="F138" s="8">
        <v>5</v>
      </c>
      <c r="G138" s="66" t="s">
        <v>407</v>
      </c>
      <c r="H138" s="55"/>
      <c r="I138" s="50" t="s">
        <v>3</v>
      </c>
      <c r="J138" s="236"/>
      <c r="K138" s="236">
        <f>'Dados Detalhados'!$L$1271</f>
        <v>750</v>
      </c>
      <c r="L138" s="236"/>
      <c r="M138" s="78">
        <f t="shared" si="14"/>
        <v>750</v>
      </c>
      <c r="N138" s="78"/>
      <c r="O138" s="78"/>
      <c r="P138" s="78"/>
      <c r="Q138" s="78"/>
      <c r="R138" s="78">
        <f t="shared" si="15"/>
        <v>750</v>
      </c>
      <c r="S138" s="78"/>
      <c r="T138" s="78"/>
    </row>
    <row r="139" spans="1:20" ht="52.5" customHeight="1">
      <c r="A139" s="12">
        <v>131</v>
      </c>
      <c r="B139" s="11" t="s">
        <v>343</v>
      </c>
      <c r="C139" s="52" t="s">
        <v>376</v>
      </c>
      <c r="D139" s="56">
        <v>1</v>
      </c>
      <c r="E139" s="33" t="s">
        <v>4</v>
      </c>
      <c r="F139" s="8">
        <v>5</v>
      </c>
      <c r="G139" s="66" t="s">
        <v>402</v>
      </c>
      <c r="H139" s="55"/>
      <c r="I139" s="50" t="s">
        <v>3</v>
      </c>
      <c r="J139" s="69"/>
      <c r="K139" s="69">
        <f>'Dados Detalhados'!$L$1277</f>
        <v>0</v>
      </c>
      <c r="L139" s="69"/>
      <c r="M139" s="78">
        <f t="shared" si="14"/>
        <v>0</v>
      </c>
      <c r="N139" s="78">
        <f t="shared" si="16"/>
        <v>0</v>
      </c>
      <c r="O139" s="78">
        <f t="shared" ref="O139:O151" si="17">+M139</f>
        <v>0</v>
      </c>
      <c r="P139" s="78">
        <f t="shared" ref="P139:P159" si="18">+M139</f>
        <v>0</v>
      </c>
      <c r="Q139" s="78">
        <f t="shared" ref="Q139:Q151" si="19">+M139</f>
        <v>0</v>
      </c>
      <c r="R139" s="78">
        <f t="shared" si="15"/>
        <v>0</v>
      </c>
      <c r="S139" s="78"/>
      <c r="T139" s="78">
        <f t="shared" si="9"/>
        <v>0</v>
      </c>
    </row>
    <row r="140" spans="1:20" ht="52.5" customHeight="1">
      <c r="A140" s="12">
        <v>132</v>
      </c>
      <c r="B140" s="11" t="s">
        <v>344</v>
      </c>
      <c r="C140" s="52" t="s">
        <v>385</v>
      </c>
      <c r="D140" s="56">
        <v>1</v>
      </c>
      <c r="E140" s="33" t="s">
        <v>4</v>
      </c>
      <c r="F140" s="8">
        <v>5</v>
      </c>
      <c r="G140" s="66" t="s">
        <v>402</v>
      </c>
      <c r="H140" s="55"/>
      <c r="I140" s="50" t="s">
        <v>3</v>
      </c>
      <c r="J140" s="237"/>
      <c r="K140" s="237">
        <f>'Dados Detalhados'!$L$1283</f>
        <v>6103.6111111111113</v>
      </c>
      <c r="L140" s="237"/>
      <c r="M140" s="78">
        <f t="shared" si="14"/>
        <v>6103.6111111111113</v>
      </c>
      <c r="N140" s="78">
        <f t="shared" si="16"/>
        <v>6103.6111111111113</v>
      </c>
      <c r="O140" s="78"/>
      <c r="P140" s="78"/>
      <c r="Q140" s="78"/>
      <c r="R140" s="78"/>
      <c r="S140" s="78"/>
      <c r="T140" s="78"/>
    </row>
    <row r="141" spans="1:20" ht="52.5" customHeight="1">
      <c r="A141" s="12">
        <v>133</v>
      </c>
      <c r="B141" s="11" t="s">
        <v>345</v>
      </c>
      <c r="C141" s="52" t="s">
        <v>377</v>
      </c>
      <c r="D141" s="56">
        <v>1</v>
      </c>
      <c r="E141" s="33" t="s">
        <v>4</v>
      </c>
      <c r="F141" s="8">
        <v>5</v>
      </c>
      <c r="G141" s="66" t="s">
        <v>402</v>
      </c>
      <c r="H141" s="55"/>
      <c r="I141" s="50" t="s">
        <v>3</v>
      </c>
      <c r="J141" s="69"/>
      <c r="K141" s="69">
        <f>'Dados Detalhados'!$L$1290</f>
        <v>0</v>
      </c>
      <c r="L141" s="69"/>
      <c r="M141" s="78">
        <f t="shared" si="14"/>
        <v>0</v>
      </c>
      <c r="N141" s="78">
        <f t="shared" si="16"/>
        <v>0</v>
      </c>
      <c r="O141" s="78">
        <f t="shared" si="17"/>
        <v>0</v>
      </c>
      <c r="P141" s="78">
        <f t="shared" si="18"/>
        <v>0</v>
      </c>
      <c r="Q141" s="78">
        <f t="shared" si="19"/>
        <v>0</v>
      </c>
      <c r="R141" s="78">
        <f t="shared" si="15"/>
        <v>0</v>
      </c>
      <c r="S141" s="78"/>
      <c r="T141" s="78">
        <f t="shared" ref="T141:T158" si="20">+M141</f>
        <v>0</v>
      </c>
    </row>
    <row r="142" spans="1:20" ht="52.5" customHeight="1">
      <c r="A142" s="12">
        <v>134</v>
      </c>
      <c r="B142" s="11" t="s">
        <v>346</v>
      </c>
      <c r="C142" s="52" t="s">
        <v>378</v>
      </c>
      <c r="D142" s="56">
        <v>1</v>
      </c>
      <c r="E142" s="33" t="s">
        <v>4</v>
      </c>
      <c r="F142" s="8">
        <v>5</v>
      </c>
      <c r="G142" s="66" t="s">
        <v>402</v>
      </c>
      <c r="H142" s="55"/>
      <c r="I142" s="50" t="s">
        <v>3</v>
      </c>
      <c r="J142" s="236"/>
      <c r="K142" s="236">
        <f>'Dados Detalhados'!$L$1296</f>
        <v>277.77777777777777</v>
      </c>
      <c r="L142" s="236"/>
      <c r="M142" s="78">
        <f t="shared" si="14"/>
        <v>277.77777777777777</v>
      </c>
      <c r="N142" s="78"/>
      <c r="O142" s="78"/>
      <c r="P142" s="78"/>
      <c r="Q142" s="78"/>
      <c r="R142" s="78">
        <f t="shared" si="15"/>
        <v>277.77777777777777</v>
      </c>
      <c r="S142" s="78"/>
      <c r="T142" s="78"/>
    </row>
    <row r="143" spans="1:20" s="4" customFormat="1" ht="52.5" customHeight="1">
      <c r="A143" s="12">
        <v>135</v>
      </c>
      <c r="B143" s="11" t="s">
        <v>347</v>
      </c>
      <c r="C143" s="52" t="s">
        <v>379</v>
      </c>
      <c r="D143" s="56">
        <v>1</v>
      </c>
      <c r="E143" s="33" t="s">
        <v>4</v>
      </c>
      <c r="F143" s="8">
        <v>5</v>
      </c>
      <c r="G143" s="66" t="s">
        <v>402</v>
      </c>
      <c r="H143" s="55"/>
      <c r="I143" s="50" t="s">
        <v>3</v>
      </c>
      <c r="J143" s="236"/>
      <c r="K143" s="236">
        <f>'Dados Detalhados'!$L$1308</f>
        <v>4608</v>
      </c>
      <c r="L143" s="236"/>
      <c r="M143" s="78">
        <f t="shared" si="14"/>
        <v>4608</v>
      </c>
      <c r="N143" s="78"/>
      <c r="O143" s="78"/>
      <c r="P143" s="78"/>
      <c r="Q143" s="78"/>
      <c r="R143" s="78">
        <f t="shared" si="15"/>
        <v>4608</v>
      </c>
      <c r="S143" s="78"/>
      <c r="T143" s="78"/>
    </row>
    <row r="144" spans="1:20" s="4" customFormat="1" ht="61.5" customHeight="1">
      <c r="A144" s="12">
        <v>136</v>
      </c>
      <c r="B144" s="11" t="s">
        <v>348</v>
      </c>
      <c r="C144" s="52" t="s">
        <v>384</v>
      </c>
      <c r="D144" s="56">
        <v>1</v>
      </c>
      <c r="E144" s="33" t="s">
        <v>4</v>
      </c>
      <c r="F144" s="8">
        <v>5</v>
      </c>
      <c r="G144" s="66" t="s">
        <v>409</v>
      </c>
      <c r="H144" s="5" t="s">
        <v>282</v>
      </c>
      <c r="I144" s="50" t="s">
        <v>3</v>
      </c>
      <c r="J144" s="237"/>
      <c r="K144" s="237">
        <f>'Dados Detalhados'!$L$1315</f>
        <v>2720.6</v>
      </c>
      <c r="L144" s="237"/>
      <c r="M144" s="78">
        <f t="shared" si="14"/>
        <v>2720.6</v>
      </c>
      <c r="N144" s="78">
        <f t="shared" si="16"/>
        <v>2720.6</v>
      </c>
      <c r="O144" s="78"/>
      <c r="P144" s="78"/>
      <c r="Q144" s="78"/>
      <c r="R144" s="78"/>
      <c r="S144" s="78"/>
      <c r="T144" s="78"/>
    </row>
    <row r="145" spans="1:20" s="4" customFormat="1" ht="52.5" customHeight="1">
      <c r="A145" s="12">
        <v>137</v>
      </c>
      <c r="B145" s="11" t="s">
        <v>349</v>
      </c>
      <c r="C145" s="52" t="s">
        <v>380</v>
      </c>
      <c r="D145" s="56">
        <v>1</v>
      </c>
      <c r="E145" s="33" t="s">
        <v>4</v>
      </c>
      <c r="F145" s="8">
        <v>5</v>
      </c>
      <c r="G145" s="66" t="s">
        <v>402</v>
      </c>
      <c r="H145" s="55"/>
      <c r="I145" s="50" t="s">
        <v>3</v>
      </c>
      <c r="J145" s="237"/>
      <c r="K145" s="237">
        <f>'Dados Detalhados'!$L$1321</f>
        <v>5584.7</v>
      </c>
      <c r="L145" s="237"/>
      <c r="M145" s="78">
        <f t="shared" si="14"/>
        <v>5584.7</v>
      </c>
      <c r="N145" s="78">
        <f t="shared" si="16"/>
        <v>5584.7</v>
      </c>
      <c r="O145" s="78"/>
      <c r="P145" s="78"/>
      <c r="Q145" s="78"/>
      <c r="R145" s="78"/>
      <c r="S145" s="78"/>
      <c r="T145" s="78"/>
    </row>
    <row r="146" spans="1:20" s="4" customFormat="1" ht="52.5" customHeight="1">
      <c r="A146" s="12">
        <v>138</v>
      </c>
      <c r="B146" s="11" t="s">
        <v>350</v>
      </c>
      <c r="C146" s="52" t="s">
        <v>381</v>
      </c>
      <c r="D146" s="56">
        <v>1</v>
      </c>
      <c r="E146" s="33" t="s">
        <v>4</v>
      </c>
      <c r="F146" s="8">
        <v>5</v>
      </c>
      <c r="G146" s="66" t="s">
        <v>410</v>
      </c>
      <c r="H146" s="55"/>
      <c r="I146" s="50" t="s">
        <v>3</v>
      </c>
      <c r="J146" s="69"/>
      <c r="K146" s="69">
        <f>'Dados Detalhados'!$L$1327</f>
        <v>0</v>
      </c>
      <c r="L146" s="69"/>
      <c r="M146" s="78">
        <f t="shared" si="14"/>
        <v>0</v>
      </c>
      <c r="N146" s="78"/>
      <c r="O146" s="78"/>
      <c r="P146" s="78"/>
      <c r="Q146" s="78"/>
      <c r="R146" s="78"/>
      <c r="S146" s="78"/>
      <c r="T146" s="78">
        <f t="shared" si="20"/>
        <v>0</v>
      </c>
    </row>
    <row r="147" spans="1:20" s="4" customFormat="1" ht="52.5" hidden="1" customHeight="1">
      <c r="A147" s="12">
        <v>139</v>
      </c>
      <c r="B147" s="11" t="s">
        <v>351</v>
      </c>
      <c r="C147" s="52" t="s">
        <v>382</v>
      </c>
      <c r="D147" s="56">
        <v>2</v>
      </c>
      <c r="E147" s="33" t="s">
        <v>4</v>
      </c>
      <c r="F147" s="8">
        <v>5</v>
      </c>
      <c r="G147" s="66" t="s">
        <v>410</v>
      </c>
      <c r="H147" s="55"/>
      <c r="I147" s="50" t="s">
        <v>3</v>
      </c>
      <c r="J147" s="69"/>
      <c r="K147" s="69">
        <f>'Dados Detalhados'!$L$1333</f>
        <v>0</v>
      </c>
      <c r="L147" s="69"/>
      <c r="M147" s="78">
        <f t="shared" si="14"/>
        <v>0</v>
      </c>
      <c r="N147" s="78"/>
      <c r="O147" s="78"/>
      <c r="P147" s="78"/>
      <c r="Q147" s="78"/>
      <c r="R147" s="78"/>
      <c r="S147" s="78"/>
      <c r="T147" s="78">
        <f t="shared" si="20"/>
        <v>0</v>
      </c>
    </row>
    <row r="148" spans="1:20" s="4" customFormat="1" ht="52.5" hidden="1" customHeight="1">
      <c r="A148" s="12">
        <v>140</v>
      </c>
      <c r="B148" s="11" t="s">
        <v>352</v>
      </c>
      <c r="C148" s="52" t="s">
        <v>383</v>
      </c>
      <c r="D148" s="56">
        <v>3</v>
      </c>
      <c r="E148" s="33" t="s">
        <v>4</v>
      </c>
      <c r="F148" s="8">
        <v>5</v>
      </c>
      <c r="G148" s="66" t="s">
        <v>410</v>
      </c>
      <c r="H148" s="55"/>
      <c r="I148" s="50" t="s">
        <v>3</v>
      </c>
      <c r="J148" s="236"/>
      <c r="K148" s="236">
        <f>'Dados Detalhados'!$L$1354</f>
        <v>92.833333333333329</v>
      </c>
      <c r="L148" s="236"/>
      <c r="M148" s="78">
        <f t="shared" si="14"/>
        <v>92.833333333333329</v>
      </c>
      <c r="N148" s="78"/>
      <c r="O148" s="78"/>
      <c r="P148" s="78"/>
      <c r="Q148" s="78"/>
      <c r="R148" s="78">
        <f t="shared" si="15"/>
        <v>92.833333333333329</v>
      </c>
      <c r="S148" s="78"/>
      <c r="T148" s="78"/>
    </row>
    <row r="149" spans="1:20" s="4" customFormat="1" ht="52.5" customHeight="1">
      <c r="A149" s="12">
        <v>141</v>
      </c>
      <c r="B149" s="11" t="s">
        <v>353</v>
      </c>
      <c r="C149" s="52" t="s">
        <v>369</v>
      </c>
      <c r="D149" s="56">
        <v>1</v>
      </c>
      <c r="E149" s="33" t="s">
        <v>4</v>
      </c>
      <c r="F149" s="8">
        <v>5</v>
      </c>
      <c r="G149" s="66" t="s">
        <v>410</v>
      </c>
      <c r="H149" s="55"/>
      <c r="I149" s="50"/>
      <c r="J149" s="237"/>
      <c r="K149" s="69">
        <f>'Dados Detalhados'!$L$1362</f>
        <v>0</v>
      </c>
      <c r="L149" s="69"/>
      <c r="M149" s="78">
        <f t="shared" si="14"/>
        <v>0</v>
      </c>
      <c r="N149" s="78">
        <f t="shared" si="16"/>
        <v>0</v>
      </c>
      <c r="O149" s="78"/>
      <c r="P149" s="78"/>
      <c r="Q149" s="78"/>
      <c r="R149" s="78"/>
      <c r="S149" s="78"/>
      <c r="T149" s="78"/>
    </row>
    <row r="150" spans="1:20" s="4" customFormat="1" ht="52.5" customHeight="1">
      <c r="A150" s="12">
        <v>142</v>
      </c>
      <c r="B150" s="11" t="s">
        <v>354</v>
      </c>
      <c r="C150" s="52" t="s">
        <v>372</v>
      </c>
      <c r="D150" s="56">
        <v>1</v>
      </c>
      <c r="E150" s="33" t="s">
        <v>4</v>
      </c>
      <c r="F150" s="8">
        <v>5</v>
      </c>
      <c r="G150" s="66" t="s">
        <v>410</v>
      </c>
      <c r="H150" s="55"/>
      <c r="I150" s="50" t="s">
        <v>3</v>
      </c>
      <c r="J150" s="69"/>
      <c r="K150" s="69">
        <f>'Dados Detalhados'!$L$1390</f>
        <v>0</v>
      </c>
      <c r="L150" s="69"/>
      <c r="M150" s="78">
        <f t="shared" si="14"/>
        <v>0</v>
      </c>
      <c r="N150" s="78"/>
      <c r="O150" s="78"/>
      <c r="P150" s="78">
        <f t="shared" si="18"/>
        <v>0</v>
      </c>
      <c r="Q150" s="78"/>
      <c r="R150" s="78"/>
      <c r="S150" s="78"/>
      <c r="T150" s="78"/>
    </row>
    <row r="151" spans="1:20" s="4" customFormat="1" ht="52.5" customHeight="1">
      <c r="A151" s="12">
        <v>143</v>
      </c>
      <c r="B151" s="11" t="s">
        <v>355</v>
      </c>
      <c r="C151" s="52" t="s">
        <v>371</v>
      </c>
      <c r="D151" s="56">
        <v>1</v>
      </c>
      <c r="E151" s="33" t="s">
        <v>4</v>
      </c>
      <c r="F151" s="8">
        <v>5</v>
      </c>
      <c r="G151" s="66" t="s">
        <v>410</v>
      </c>
      <c r="H151" s="55"/>
      <c r="I151" s="50" t="s">
        <v>3</v>
      </c>
      <c r="J151" s="69"/>
      <c r="K151" s="69">
        <f>'Dados Detalhados'!$L$1396</f>
        <v>0</v>
      </c>
      <c r="L151" s="69"/>
      <c r="M151" s="78">
        <f t="shared" si="14"/>
        <v>0</v>
      </c>
      <c r="N151" s="78">
        <f t="shared" si="16"/>
        <v>0</v>
      </c>
      <c r="O151" s="78">
        <f t="shared" si="17"/>
        <v>0</v>
      </c>
      <c r="P151" s="78">
        <f t="shared" si="18"/>
        <v>0</v>
      </c>
      <c r="Q151" s="78">
        <f t="shared" si="19"/>
        <v>0</v>
      </c>
      <c r="R151" s="78">
        <f t="shared" si="15"/>
        <v>0</v>
      </c>
      <c r="S151" s="78"/>
      <c r="T151" s="78">
        <f t="shared" si="20"/>
        <v>0</v>
      </c>
    </row>
    <row r="152" spans="1:20" s="4" customFormat="1" ht="52.5" customHeight="1">
      <c r="A152" s="12">
        <v>144</v>
      </c>
      <c r="B152" s="11" t="s">
        <v>356</v>
      </c>
      <c r="C152" s="52" t="s">
        <v>370</v>
      </c>
      <c r="D152" s="56">
        <v>1</v>
      </c>
      <c r="E152" s="33" t="s">
        <v>4</v>
      </c>
      <c r="F152" s="8">
        <v>5</v>
      </c>
      <c r="G152" s="66" t="s">
        <v>410</v>
      </c>
      <c r="H152" s="55"/>
      <c r="I152" s="50" t="s">
        <v>3</v>
      </c>
      <c r="J152" s="69"/>
      <c r="K152" s="69">
        <f>'Dados Detalhados'!$L$1402</f>
        <v>0</v>
      </c>
      <c r="L152" s="69"/>
      <c r="M152" s="78">
        <f t="shared" si="14"/>
        <v>0</v>
      </c>
      <c r="N152" s="78"/>
      <c r="O152" s="78"/>
      <c r="P152" s="78"/>
      <c r="Q152" s="78"/>
      <c r="R152" s="78"/>
      <c r="S152" s="78"/>
      <c r="T152" s="78">
        <f t="shared" si="20"/>
        <v>0</v>
      </c>
    </row>
    <row r="153" spans="1:20" s="4" customFormat="1" ht="52.5" customHeight="1">
      <c r="A153" s="12">
        <v>145</v>
      </c>
      <c r="B153" s="11" t="s">
        <v>357</v>
      </c>
      <c r="C153" s="64" t="s">
        <v>394</v>
      </c>
      <c r="D153" s="56">
        <v>1</v>
      </c>
      <c r="E153" s="33" t="s">
        <v>4</v>
      </c>
      <c r="F153" s="8">
        <v>5</v>
      </c>
      <c r="G153" s="66" t="s">
        <v>410</v>
      </c>
      <c r="H153" s="55"/>
      <c r="I153" s="50" t="s">
        <v>368</v>
      </c>
      <c r="J153" s="238"/>
      <c r="K153" s="69">
        <f>'Dados Detalhados'!$L$1408</f>
        <v>0</v>
      </c>
      <c r="L153" s="69"/>
      <c r="M153" s="78">
        <f t="shared" si="14"/>
        <v>0</v>
      </c>
      <c r="N153" s="78"/>
      <c r="O153" s="78"/>
      <c r="P153" s="78">
        <f t="shared" si="18"/>
        <v>0</v>
      </c>
      <c r="Q153" s="78"/>
      <c r="R153" s="78"/>
      <c r="S153" s="78"/>
      <c r="T153" s="78"/>
    </row>
    <row r="154" spans="1:20" s="4" customFormat="1" ht="52.5" customHeight="1">
      <c r="A154" s="12">
        <v>146</v>
      </c>
      <c r="B154" s="11" t="s">
        <v>358</v>
      </c>
      <c r="C154" s="1" t="s">
        <v>367</v>
      </c>
      <c r="D154" s="56">
        <v>1</v>
      </c>
      <c r="E154" s="33" t="s">
        <v>4</v>
      </c>
      <c r="F154" s="8">
        <v>5</v>
      </c>
      <c r="G154" s="66" t="s">
        <v>408</v>
      </c>
      <c r="H154" s="55"/>
      <c r="I154" s="50" t="s">
        <v>3</v>
      </c>
      <c r="J154" s="237"/>
      <c r="K154" s="237">
        <f>'Dados Detalhados'!$L$1441</f>
        <v>24512.5</v>
      </c>
      <c r="L154" s="237"/>
      <c r="M154" s="78">
        <f t="shared" si="14"/>
        <v>24512.5</v>
      </c>
      <c r="N154" s="78">
        <f t="shared" si="16"/>
        <v>24512.5</v>
      </c>
      <c r="O154" s="78"/>
      <c r="P154" s="78"/>
      <c r="Q154" s="78"/>
      <c r="R154" s="78"/>
      <c r="S154" s="78"/>
      <c r="T154" s="78"/>
    </row>
    <row r="155" spans="1:20" s="4" customFormat="1" ht="52.5" customHeight="1">
      <c r="A155" s="12">
        <v>147</v>
      </c>
      <c r="B155" s="11" t="s">
        <v>359</v>
      </c>
      <c r="C155" s="1" t="s">
        <v>366</v>
      </c>
      <c r="D155" s="56">
        <v>1</v>
      </c>
      <c r="E155" s="33" t="s">
        <v>4</v>
      </c>
      <c r="F155" s="8">
        <v>5</v>
      </c>
      <c r="G155" s="66" t="s">
        <v>408</v>
      </c>
      <c r="H155" s="55"/>
      <c r="I155" s="50" t="s">
        <v>3</v>
      </c>
      <c r="J155" s="237"/>
      <c r="K155" s="237">
        <f>'Dados Detalhados'!$L$1467</f>
        <v>33095.055555555555</v>
      </c>
      <c r="L155" s="69"/>
      <c r="M155" s="78">
        <f t="shared" si="14"/>
        <v>33095.055555555555</v>
      </c>
      <c r="N155" s="78">
        <f t="shared" si="16"/>
        <v>33095.055555555555</v>
      </c>
      <c r="O155" s="78"/>
      <c r="P155" s="78"/>
      <c r="Q155" s="78"/>
      <c r="R155" s="78"/>
      <c r="S155" s="78"/>
      <c r="T155" s="78"/>
    </row>
    <row r="156" spans="1:20" s="4" customFormat="1" ht="52.5" hidden="1" customHeight="1">
      <c r="A156" s="12">
        <v>148</v>
      </c>
      <c r="B156" s="11" t="s">
        <v>360</v>
      </c>
      <c r="C156" s="64" t="s">
        <v>395</v>
      </c>
      <c r="D156" s="56">
        <v>2</v>
      </c>
      <c r="E156" s="33" t="s">
        <v>4</v>
      </c>
      <c r="F156" s="8">
        <v>5</v>
      </c>
      <c r="G156" s="66" t="s">
        <v>408</v>
      </c>
      <c r="H156" s="55"/>
      <c r="I156" s="50" t="s">
        <v>3</v>
      </c>
      <c r="J156" s="69"/>
      <c r="K156" s="69">
        <f>'Dados Detalhados'!$L$1488</f>
        <v>0</v>
      </c>
      <c r="L156" s="69"/>
      <c r="M156" s="78">
        <f t="shared" si="14"/>
        <v>0</v>
      </c>
      <c r="N156" s="78"/>
      <c r="O156" s="78"/>
      <c r="P156" s="78"/>
      <c r="Q156" s="78"/>
      <c r="R156" s="78"/>
      <c r="S156" s="78"/>
      <c r="T156" s="78">
        <f t="shared" si="20"/>
        <v>0</v>
      </c>
    </row>
    <row r="157" spans="1:20" s="4" customFormat="1" ht="52.5" customHeight="1">
      <c r="A157" s="12">
        <v>149</v>
      </c>
      <c r="B157" s="11" t="s">
        <v>361</v>
      </c>
      <c r="C157" s="64" t="s">
        <v>396</v>
      </c>
      <c r="D157" s="56">
        <v>1</v>
      </c>
      <c r="E157" s="33" t="s">
        <v>4</v>
      </c>
      <c r="F157" s="8">
        <v>5</v>
      </c>
      <c r="G157" s="66" t="s">
        <v>409</v>
      </c>
      <c r="H157" s="55"/>
      <c r="I157" s="50" t="s">
        <v>3</v>
      </c>
      <c r="J157" s="69"/>
      <c r="K157" s="69">
        <f>'Dados Detalhados'!$L$1494</f>
        <v>0</v>
      </c>
      <c r="L157" s="69"/>
      <c r="M157" s="78">
        <f t="shared" si="14"/>
        <v>0</v>
      </c>
      <c r="N157" s="78">
        <f t="shared" si="16"/>
        <v>0</v>
      </c>
      <c r="O157" s="78"/>
      <c r="P157" s="78"/>
      <c r="Q157" s="78"/>
      <c r="R157" s="78"/>
      <c r="S157" s="78"/>
      <c r="T157" s="78"/>
    </row>
    <row r="158" spans="1:20" s="4" customFormat="1" ht="52.5" hidden="1" customHeight="1">
      <c r="A158" s="12">
        <v>150</v>
      </c>
      <c r="B158" s="11" t="s">
        <v>362</v>
      </c>
      <c r="C158" s="65" t="s">
        <v>391</v>
      </c>
      <c r="D158" s="56">
        <v>2</v>
      </c>
      <c r="E158" s="33" t="s">
        <v>4</v>
      </c>
      <c r="F158" s="8">
        <v>5</v>
      </c>
      <c r="G158" s="66" t="s">
        <v>410</v>
      </c>
      <c r="H158" s="55"/>
      <c r="I158" s="50" t="s">
        <v>3</v>
      </c>
      <c r="J158" s="69"/>
      <c r="K158" s="69">
        <f>'Dados Detalhados'!$L$1500</f>
        <v>0</v>
      </c>
      <c r="L158" s="69"/>
      <c r="M158" s="78">
        <f t="shared" si="14"/>
        <v>0</v>
      </c>
      <c r="N158" s="78"/>
      <c r="O158" s="78"/>
      <c r="P158" s="78"/>
      <c r="Q158" s="78"/>
      <c r="R158" s="78"/>
      <c r="S158" s="78"/>
      <c r="T158" s="78">
        <f t="shared" si="20"/>
        <v>0</v>
      </c>
    </row>
    <row r="159" spans="1:20" s="4" customFormat="1" ht="52.5" customHeight="1">
      <c r="A159" s="12">
        <v>151</v>
      </c>
      <c r="B159" s="11" t="s">
        <v>363</v>
      </c>
      <c r="C159" s="1" t="s">
        <v>365</v>
      </c>
      <c r="D159" s="56">
        <v>1</v>
      </c>
      <c r="E159" s="33" t="s">
        <v>4</v>
      </c>
      <c r="F159" s="8">
        <v>5</v>
      </c>
      <c r="G159" s="66" t="s">
        <v>410</v>
      </c>
      <c r="H159" s="55"/>
      <c r="I159" s="50" t="s">
        <v>3</v>
      </c>
      <c r="J159" s="69"/>
      <c r="K159" s="238">
        <f>'Dados Detalhados'!$L$1506</f>
        <v>5857.4564645041792</v>
      </c>
      <c r="L159" s="69"/>
      <c r="M159" s="78">
        <f t="shared" si="14"/>
        <v>5857.4564645041792</v>
      </c>
      <c r="N159" s="78"/>
      <c r="O159" s="78"/>
      <c r="P159" s="78">
        <f t="shared" si="18"/>
        <v>5857.4564645041792</v>
      </c>
      <c r="Q159" s="78"/>
      <c r="R159" s="78"/>
      <c r="S159" s="78"/>
      <c r="T159" s="78"/>
    </row>
    <row r="160" spans="1:20" s="4" customFormat="1" hidden="1">
      <c r="A160" s="2"/>
      <c r="B160" s="2"/>
      <c r="D160" s="2"/>
      <c r="E160" s="2"/>
      <c r="F160" s="2"/>
      <c r="G160" s="2"/>
      <c r="H160" s="2"/>
      <c r="I160" s="2"/>
      <c r="J160" s="247">
        <f>SUM(J5:J159)</f>
        <v>0</v>
      </c>
      <c r="K160" s="247">
        <f>SUM(K5:K159)</f>
        <v>631433.3925087885</v>
      </c>
      <c r="L160" s="247">
        <f>SUM(L5:L159)</f>
        <v>0</v>
      </c>
      <c r="M160" s="247">
        <f t="shared" ref="M160:T160" si="21">SUM(M5:M159)</f>
        <v>631433.3925087885</v>
      </c>
      <c r="N160" s="63">
        <f t="shared" si="21"/>
        <v>412250.87666666659</v>
      </c>
      <c r="O160" s="63">
        <f t="shared" si="21"/>
        <v>14400</v>
      </c>
      <c r="P160" s="63">
        <f t="shared" si="21"/>
        <v>5857.4564645041792</v>
      </c>
      <c r="Q160" s="63">
        <f t="shared" si="21"/>
        <v>5312</v>
      </c>
      <c r="R160" s="63">
        <f t="shared" si="21"/>
        <v>94253.499377617889</v>
      </c>
      <c r="S160" s="63">
        <f t="shared" si="21"/>
        <v>0</v>
      </c>
      <c r="T160" s="63">
        <f t="shared" si="21"/>
        <v>99359.56</v>
      </c>
    </row>
    <row r="161" spans="1:20" s="4" customFormat="1" ht="15" customHeight="1">
      <c r="A161" s="2"/>
      <c r="B161" s="2"/>
      <c r="D161" s="2"/>
      <c r="E161" s="2"/>
      <c r="F161" s="2"/>
      <c r="G161" s="2"/>
      <c r="H161" s="251"/>
      <c r="I161" s="251"/>
      <c r="J161" s="251"/>
      <c r="K161" s="251"/>
      <c r="L161" s="251"/>
      <c r="M161" s="252"/>
      <c r="N161" s="2"/>
      <c r="O161" s="2"/>
      <c r="P161" s="2"/>
      <c r="Q161" s="2"/>
      <c r="R161" s="2"/>
      <c r="S161" s="2"/>
      <c r="T161" s="2"/>
    </row>
    <row r="162" spans="1:20" s="4" customFormat="1" ht="34.5" customHeight="1">
      <c r="A162" s="2"/>
      <c r="B162" s="2"/>
      <c r="D162" s="2"/>
      <c r="E162" s="2"/>
      <c r="F162" s="2"/>
      <c r="G162" s="2"/>
      <c r="H162" s="248"/>
      <c r="I162" s="248"/>
      <c r="J162" s="249"/>
      <c r="K162" s="249"/>
      <c r="L162" s="249"/>
      <c r="M162" s="250"/>
      <c r="N162" s="239"/>
      <c r="O162" s="2"/>
      <c r="P162" s="2"/>
      <c r="Q162" s="2"/>
      <c r="R162" s="2"/>
      <c r="S162" s="2"/>
      <c r="T162" s="2"/>
    </row>
    <row r="163" spans="1:20" ht="15" customHeight="1">
      <c r="J163" s="4"/>
      <c r="N163" s="239"/>
    </row>
    <row r="164" spans="1:20" s="3" customFormat="1" ht="18.75" customHeight="1">
      <c r="K164" s="2"/>
      <c r="L164" s="2"/>
      <c r="M164" s="2"/>
      <c r="N164" s="2"/>
      <c r="O164" s="2"/>
      <c r="P164" s="2"/>
      <c r="Q164" s="2"/>
      <c r="R164" s="2"/>
      <c r="S164" s="2"/>
      <c r="T164" s="2"/>
    </row>
    <row r="166" spans="1:20" s="3" customFormat="1" ht="15" customHeight="1">
      <c r="K166" s="2"/>
      <c r="L166" s="2"/>
      <c r="M166" s="2"/>
      <c r="N166" s="2"/>
      <c r="O166" s="2"/>
      <c r="P166" s="2"/>
      <c r="Q166" s="2"/>
      <c r="R166" s="2"/>
      <c r="S166" s="2"/>
      <c r="T166" s="2"/>
    </row>
  </sheetData>
  <autoFilter ref="A4:T160">
    <filterColumn colId="3">
      <filters>
        <filter val="1"/>
      </filters>
    </filterColumn>
  </autoFilter>
  <mergeCells count="1">
    <mergeCell ref="N3:S3"/>
  </mergeCells>
  <pageMargins left="0.7" right="0.7" top="0.75" bottom="0.75" header="0.3" footer="0.3"/>
  <pageSetup paperSize="9" orientation="portrait" r:id="rId1"/>
  <legacyDrawing r:id="rId2"/>
</worksheet>
</file>

<file path=xl/worksheets/sheet17.xml><?xml version="1.0" encoding="utf-8"?>
<worksheet xmlns="http://schemas.openxmlformats.org/spreadsheetml/2006/main" xmlns:r="http://schemas.openxmlformats.org/officeDocument/2006/relationships">
  <dimension ref="A4:H41"/>
  <sheetViews>
    <sheetView topLeftCell="A18" zoomScaleNormal="100" workbookViewId="0">
      <selection activeCell="A32" sqref="A32"/>
    </sheetView>
  </sheetViews>
  <sheetFormatPr defaultRowHeight="15"/>
  <cols>
    <col min="1" max="1" width="42.85546875" customWidth="1"/>
    <col min="2" max="2" width="11.42578125" bestFit="1" customWidth="1"/>
    <col min="3" max="3" width="14" customWidth="1"/>
    <col min="4" max="4" width="13.42578125" customWidth="1"/>
    <col min="5" max="5" width="33.42578125" customWidth="1"/>
    <col min="6" max="6" width="16.85546875" customWidth="1"/>
    <col min="7" max="7" width="18" customWidth="1"/>
    <col min="8" max="8" width="23.7109375" customWidth="1"/>
  </cols>
  <sheetData>
    <row r="4" spans="1:8">
      <c r="B4" s="85" t="s">
        <v>905</v>
      </c>
    </row>
    <row r="5" spans="1:8">
      <c r="A5" s="85" t="s">
        <v>415</v>
      </c>
      <c r="B5" s="267" t="s">
        <v>908</v>
      </c>
      <c r="C5" s="267" t="s">
        <v>909</v>
      </c>
      <c r="D5" s="267" t="s">
        <v>910</v>
      </c>
      <c r="E5" s="267" t="s">
        <v>911</v>
      </c>
      <c r="F5" s="267" t="s">
        <v>912</v>
      </c>
      <c r="G5" s="267" t="s">
        <v>917</v>
      </c>
      <c r="H5" s="267" t="s">
        <v>418</v>
      </c>
    </row>
    <row r="6" spans="1:8">
      <c r="A6" s="86" t="s">
        <v>42</v>
      </c>
      <c r="B6" s="87">
        <v>10360.89</v>
      </c>
      <c r="C6" s="87">
        <v>0</v>
      </c>
      <c r="D6" s="87">
        <v>0</v>
      </c>
      <c r="E6" s="87">
        <v>0</v>
      </c>
      <c r="F6" s="87">
        <v>3584.6928999999996</v>
      </c>
      <c r="G6" s="87">
        <v>3262.48</v>
      </c>
      <c r="H6" s="87">
        <v>17208.062899999997</v>
      </c>
    </row>
    <row r="7" spans="1:8">
      <c r="A7" s="86" t="s">
        <v>144</v>
      </c>
      <c r="B7" s="87">
        <v>115304.94</v>
      </c>
      <c r="C7" s="87">
        <v>0</v>
      </c>
      <c r="D7" s="87">
        <v>0</v>
      </c>
      <c r="E7" s="87">
        <v>0</v>
      </c>
      <c r="F7" s="87">
        <v>78594.135366506773</v>
      </c>
      <c r="G7" s="87">
        <v>7188.7700000000013</v>
      </c>
      <c r="H7" s="87">
        <v>201087.84536650678</v>
      </c>
    </row>
    <row r="8" spans="1:8">
      <c r="A8" s="86" t="s">
        <v>390</v>
      </c>
      <c r="B8" s="87">
        <v>108434.38999999998</v>
      </c>
      <c r="C8" s="87"/>
      <c r="D8" s="87"/>
      <c r="E8" s="87">
        <v>5312</v>
      </c>
      <c r="F8" s="87">
        <v>5208.33</v>
      </c>
      <c r="G8" s="87">
        <v>50756.31</v>
      </c>
      <c r="H8" s="87">
        <v>169711.03</v>
      </c>
    </row>
    <row r="9" spans="1:8">
      <c r="A9" s="86" t="s">
        <v>389</v>
      </c>
      <c r="B9" s="87">
        <v>61768.740000000005</v>
      </c>
      <c r="C9" s="87">
        <v>0</v>
      </c>
      <c r="D9" s="87">
        <v>0</v>
      </c>
      <c r="E9" s="87">
        <v>0</v>
      </c>
      <c r="F9" s="87">
        <v>0</v>
      </c>
      <c r="G9" s="87">
        <v>38152</v>
      </c>
      <c r="H9" s="87">
        <v>99920.74</v>
      </c>
    </row>
    <row r="10" spans="1:8">
      <c r="A10" s="86" t="s">
        <v>4</v>
      </c>
      <c r="B10" s="87">
        <v>132007.45000000001</v>
      </c>
      <c r="C10" s="87">
        <v>14400</v>
      </c>
      <c r="D10" s="87">
        <v>5857.5</v>
      </c>
      <c r="E10" s="87">
        <v>0</v>
      </c>
      <c r="F10" s="87">
        <v>6866.3300000000008</v>
      </c>
      <c r="G10" s="87">
        <v>0</v>
      </c>
      <c r="H10" s="87">
        <v>159131.28000000003</v>
      </c>
    </row>
    <row r="11" spans="1:8">
      <c r="A11" s="86" t="s">
        <v>416</v>
      </c>
      <c r="B11" s="87">
        <v>427876.41</v>
      </c>
      <c r="C11" s="87">
        <v>14400</v>
      </c>
      <c r="D11" s="87">
        <v>5857.5</v>
      </c>
      <c r="E11" s="87">
        <v>5312</v>
      </c>
      <c r="F11" s="87">
        <v>94253.488266506771</v>
      </c>
      <c r="G11" s="87">
        <v>99359.56</v>
      </c>
      <c r="H11" s="87">
        <v>647058.95826650679</v>
      </c>
    </row>
    <row r="16" spans="1:8">
      <c r="A16" s="85" t="s">
        <v>412</v>
      </c>
      <c r="B16" s="86">
        <v>1</v>
      </c>
    </row>
    <row r="18" spans="1:8">
      <c r="B18" s="85" t="s">
        <v>905</v>
      </c>
    </row>
    <row r="19" spans="1:8">
      <c r="A19" s="85" t="s">
        <v>415</v>
      </c>
      <c r="B19" s="267" t="s">
        <v>908</v>
      </c>
      <c r="C19" t="s">
        <v>909</v>
      </c>
      <c r="D19" t="s">
        <v>910</v>
      </c>
      <c r="E19" t="s">
        <v>911</v>
      </c>
      <c r="F19" t="s">
        <v>912</v>
      </c>
      <c r="G19" t="s">
        <v>917</v>
      </c>
      <c r="H19" t="s">
        <v>418</v>
      </c>
    </row>
    <row r="20" spans="1:8">
      <c r="A20" s="86" t="s">
        <v>42</v>
      </c>
      <c r="B20" s="87">
        <v>10360.89</v>
      </c>
      <c r="C20" s="87">
        <v>0</v>
      </c>
      <c r="D20" s="87">
        <v>0</v>
      </c>
      <c r="E20" s="87">
        <v>0</v>
      </c>
      <c r="F20" s="87">
        <v>3584.6928999999996</v>
      </c>
      <c r="G20" s="87">
        <v>3262.48</v>
      </c>
      <c r="H20" s="87">
        <v>17208.062899999997</v>
      </c>
    </row>
    <row r="21" spans="1:8">
      <c r="A21" s="241" t="s">
        <v>405</v>
      </c>
      <c r="B21" s="87">
        <v>0</v>
      </c>
      <c r="C21" s="87">
        <v>0</v>
      </c>
      <c r="D21" s="87">
        <v>0</v>
      </c>
      <c r="E21" s="87">
        <v>0</v>
      </c>
      <c r="F21" s="87">
        <v>3584.6928999999996</v>
      </c>
      <c r="G21" s="87">
        <v>1262.48</v>
      </c>
      <c r="H21" s="87">
        <v>4847.1728999999996</v>
      </c>
    </row>
    <row r="22" spans="1:8">
      <c r="A22" s="241" t="s">
        <v>406</v>
      </c>
      <c r="B22" s="87">
        <v>10360.89</v>
      </c>
      <c r="C22" s="87">
        <v>0</v>
      </c>
      <c r="D22" s="87">
        <v>0</v>
      </c>
      <c r="E22" s="87">
        <v>0</v>
      </c>
      <c r="F22" s="87">
        <v>0</v>
      </c>
      <c r="G22" s="87">
        <v>2000</v>
      </c>
      <c r="H22" s="87">
        <v>12360.89</v>
      </c>
    </row>
    <row r="23" spans="1:8">
      <c r="A23" s="86" t="s">
        <v>144</v>
      </c>
      <c r="B23" s="87">
        <v>111987.16</v>
      </c>
      <c r="C23" s="87">
        <v>0</v>
      </c>
      <c r="D23" s="87">
        <v>0</v>
      </c>
      <c r="E23" s="87">
        <v>0</v>
      </c>
      <c r="F23" s="87">
        <v>78501.305366506771</v>
      </c>
      <c r="G23" s="87">
        <v>5904.7700000000013</v>
      </c>
      <c r="H23" s="87">
        <v>196393.23536650679</v>
      </c>
    </row>
    <row r="24" spans="1:8">
      <c r="A24" s="241" t="s">
        <v>397</v>
      </c>
      <c r="B24" s="87">
        <v>89873</v>
      </c>
      <c r="C24" s="87">
        <v>0</v>
      </c>
      <c r="D24" s="87">
        <v>0</v>
      </c>
      <c r="E24" s="87">
        <v>0</v>
      </c>
      <c r="F24" s="87">
        <v>0</v>
      </c>
      <c r="G24" s="87">
        <v>0</v>
      </c>
      <c r="H24" s="87">
        <v>89873</v>
      </c>
    </row>
    <row r="25" spans="1:8">
      <c r="A25" s="241" t="s">
        <v>398</v>
      </c>
      <c r="B25" s="87">
        <v>21414.159999999996</v>
      </c>
      <c r="C25" s="87"/>
      <c r="D25" s="87"/>
      <c r="E25" s="87"/>
      <c r="F25" s="87">
        <v>78501.305366506771</v>
      </c>
      <c r="G25" s="87">
        <v>5904.7700000000013</v>
      </c>
      <c r="H25" s="87">
        <v>105820.23536650678</v>
      </c>
    </row>
    <row r="26" spans="1:8">
      <c r="A26" s="241" t="s">
        <v>399</v>
      </c>
      <c r="B26" s="87">
        <v>700</v>
      </c>
      <c r="C26" s="87"/>
      <c r="D26" s="87"/>
      <c r="E26" s="87"/>
      <c r="F26" s="87"/>
      <c r="G26" s="87"/>
      <c r="H26" s="87">
        <v>700</v>
      </c>
    </row>
    <row r="27" spans="1:8">
      <c r="A27" s="86" t="s">
        <v>390</v>
      </c>
      <c r="B27" s="87">
        <v>76375.5</v>
      </c>
      <c r="C27" s="87"/>
      <c r="D27" s="87"/>
      <c r="E27" s="87">
        <v>5312</v>
      </c>
      <c r="F27" s="87">
        <v>2500</v>
      </c>
      <c r="G27" s="87">
        <v>23089.45</v>
      </c>
      <c r="H27" s="87">
        <v>107276.95000000001</v>
      </c>
    </row>
    <row r="28" spans="1:8">
      <c r="A28" s="241" t="s">
        <v>401</v>
      </c>
      <c r="B28" s="87">
        <v>46226.51</v>
      </c>
      <c r="C28" s="87"/>
      <c r="D28" s="87"/>
      <c r="E28" s="87"/>
      <c r="F28" s="87"/>
      <c r="G28" s="87">
        <v>7140</v>
      </c>
      <c r="H28" s="87">
        <v>53366.51</v>
      </c>
    </row>
    <row r="29" spans="1:8">
      <c r="A29" s="241" t="s">
        <v>402</v>
      </c>
      <c r="B29" s="87">
        <v>4204.5599999999995</v>
      </c>
      <c r="C29" s="87"/>
      <c r="D29" s="87"/>
      <c r="E29" s="87">
        <v>5312</v>
      </c>
      <c r="F29" s="87">
        <v>2500</v>
      </c>
      <c r="G29" s="87">
        <v>15949.45</v>
      </c>
      <c r="H29" s="87">
        <v>27966.010000000002</v>
      </c>
    </row>
    <row r="30" spans="1:8">
      <c r="A30" s="241" t="s">
        <v>403</v>
      </c>
      <c r="B30" s="87">
        <v>25944.43</v>
      </c>
      <c r="C30" s="87"/>
      <c r="D30" s="87"/>
      <c r="E30" s="87"/>
      <c r="F30" s="87"/>
      <c r="G30" s="87"/>
      <c r="H30" s="87">
        <v>25944.43</v>
      </c>
    </row>
    <row r="31" spans="1:8">
      <c r="A31" s="241" t="s">
        <v>404</v>
      </c>
      <c r="B31" s="87">
        <v>0</v>
      </c>
      <c r="C31" s="87"/>
      <c r="D31" s="87"/>
      <c r="E31" s="87"/>
      <c r="F31" s="87"/>
      <c r="G31" s="87"/>
      <c r="H31" s="87">
        <v>0</v>
      </c>
    </row>
    <row r="32" spans="1:8">
      <c r="A32" s="86" t="s">
        <v>389</v>
      </c>
      <c r="B32" s="87">
        <v>37800.740000000005</v>
      </c>
      <c r="C32" s="87">
        <v>0</v>
      </c>
      <c r="D32" s="87">
        <v>0</v>
      </c>
      <c r="E32" s="87">
        <v>0</v>
      </c>
      <c r="F32" s="87">
        <v>0</v>
      </c>
      <c r="G32" s="87">
        <v>38152</v>
      </c>
      <c r="H32" s="87">
        <v>75952.740000000005</v>
      </c>
    </row>
    <row r="33" spans="1:8">
      <c r="A33" s="241" t="s">
        <v>400</v>
      </c>
      <c r="B33" s="87">
        <v>26800.74</v>
      </c>
      <c r="C33" s="87">
        <v>0</v>
      </c>
      <c r="D33" s="87">
        <v>0</v>
      </c>
      <c r="E33" s="87">
        <v>0</v>
      </c>
      <c r="F33" s="87">
        <v>0</v>
      </c>
      <c r="G33" s="87">
        <v>38152</v>
      </c>
      <c r="H33" s="87">
        <v>64952.740000000005</v>
      </c>
    </row>
    <row r="34" spans="1:8">
      <c r="A34" s="241" t="s">
        <v>866</v>
      </c>
      <c r="B34" s="87">
        <v>11000</v>
      </c>
      <c r="C34" s="87"/>
      <c r="D34" s="87"/>
      <c r="E34" s="87"/>
      <c r="F34" s="87"/>
      <c r="G34" s="87"/>
      <c r="H34" s="87">
        <v>11000</v>
      </c>
    </row>
    <row r="35" spans="1:8">
      <c r="A35" s="86" t="s">
        <v>4</v>
      </c>
      <c r="B35" s="87">
        <v>118072.25000000001</v>
      </c>
      <c r="C35" s="87">
        <v>14400</v>
      </c>
      <c r="D35" s="87">
        <v>5857.5</v>
      </c>
      <c r="E35" s="87">
        <v>0</v>
      </c>
      <c r="F35" s="87">
        <v>6773.5300000000007</v>
      </c>
      <c r="G35" s="87">
        <v>0</v>
      </c>
      <c r="H35" s="87">
        <v>145103.28</v>
      </c>
    </row>
    <row r="36" spans="1:8">
      <c r="A36" s="241" t="s">
        <v>407</v>
      </c>
      <c r="B36" s="87">
        <v>22900.33</v>
      </c>
      <c r="C36" s="87">
        <v>14400</v>
      </c>
      <c r="D36" s="87">
        <v>0</v>
      </c>
      <c r="E36" s="87">
        <v>0</v>
      </c>
      <c r="F36" s="87">
        <v>750</v>
      </c>
      <c r="G36" s="87">
        <v>0</v>
      </c>
      <c r="H36" s="87">
        <v>38050.33</v>
      </c>
    </row>
    <row r="37" spans="1:8">
      <c r="A37" s="241" t="s">
        <v>402</v>
      </c>
      <c r="B37" s="87">
        <v>31362.3</v>
      </c>
      <c r="C37" s="87">
        <v>0</v>
      </c>
      <c r="D37" s="87">
        <v>0</v>
      </c>
      <c r="E37" s="87">
        <v>0</v>
      </c>
      <c r="F37" s="87">
        <v>5123.9000000000005</v>
      </c>
      <c r="G37" s="87">
        <v>0</v>
      </c>
      <c r="H37" s="87">
        <v>36486.199999999997</v>
      </c>
    </row>
    <row r="38" spans="1:8">
      <c r="A38" s="241" t="s">
        <v>408</v>
      </c>
      <c r="B38" s="87">
        <v>57595.1</v>
      </c>
      <c r="C38" s="87"/>
      <c r="D38" s="87"/>
      <c r="E38" s="87"/>
      <c r="F38" s="87"/>
      <c r="G38" s="87"/>
      <c r="H38" s="87">
        <v>57595.1</v>
      </c>
    </row>
    <row r="39" spans="1:8">
      <c r="A39" s="241" t="s">
        <v>409</v>
      </c>
      <c r="B39" s="87">
        <v>2720.6</v>
      </c>
      <c r="C39" s="87"/>
      <c r="D39" s="87"/>
      <c r="E39" s="87"/>
      <c r="F39" s="87"/>
      <c r="G39" s="87"/>
      <c r="H39" s="87">
        <v>2720.6</v>
      </c>
    </row>
    <row r="40" spans="1:8">
      <c r="A40" s="241" t="s">
        <v>410</v>
      </c>
      <c r="B40" s="87">
        <v>3493.92</v>
      </c>
      <c r="C40" s="87">
        <v>0</v>
      </c>
      <c r="D40" s="87">
        <v>5857.5</v>
      </c>
      <c r="E40" s="87">
        <v>0</v>
      </c>
      <c r="F40" s="87">
        <v>899.63000000000011</v>
      </c>
      <c r="G40" s="87">
        <v>0</v>
      </c>
      <c r="H40" s="87">
        <v>10251.049999999999</v>
      </c>
    </row>
    <row r="41" spans="1:8">
      <c r="A41" s="86" t="s">
        <v>416</v>
      </c>
      <c r="B41" s="87">
        <v>354596.53999999992</v>
      </c>
      <c r="C41" s="87">
        <v>14400</v>
      </c>
      <c r="D41" s="87">
        <v>5857.5</v>
      </c>
      <c r="E41" s="87">
        <v>5312</v>
      </c>
      <c r="F41" s="87">
        <v>91359.528266506764</v>
      </c>
      <c r="G41" s="87">
        <v>70408.700000000012</v>
      </c>
      <c r="H41" s="87">
        <v>541934.26826650684</v>
      </c>
    </row>
  </sheetData>
  <pageMargins left="0.7" right="0.7" top="0.75" bottom="0.75" header="0.3" footer="0.3"/>
  <pageSetup paperSize="9" orientation="landscape" r:id="rId3"/>
</worksheet>
</file>

<file path=xl/worksheets/sheet18.xml><?xml version="1.0" encoding="utf-8"?>
<worksheet xmlns="http://schemas.openxmlformats.org/spreadsheetml/2006/main" xmlns:r="http://schemas.openxmlformats.org/officeDocument/2006/relationships">
  <sheetPr>
    <tabColor theme="3" tint="-0.249977111117893"/>
  </sheetPr>
  <dimension ref="A1:T166"/>
  <sheetViews>
    <sheetView topLeftCell="C1" zoomScaleNormal="100" workbookViewId="0">
      <pane ySplit="5" topLeftCell="A156" activePane="bottomLeft" state="frozenSplit"/>
      <selection pane="bottomLeft" activeCell="D124" sqref="D124"/>
    </sheetView>
  </sheetViews>
  <sheetFormatPr defaultRowHeight="15"/>
  <cols>
    <col min="1" max="1" width="4.5703125" style="2" customWidth="1"/>
    <col min="2" max="2" width="6.5703125" style="2" customWidth="1"/>
    <col min="3" max="3" width="30.28515625" style="2" customWidth="1"/>
    <col min="4" max="4" width="3" style="2" customWidth="1"/>
    <col min="5" max="5" width="12.140625" style="2" customWidth="1"/>
    <col min="6" max="6" width="3" style="2" customWidth="1"/>
    <col min="7" max="9" width="12.85546875" style="2" customWidth="1"/>
    <col min="10" max="10" width="10.28515625" style="3" hidden="1" customWidth="1"/>
    <col min="11" max="11" width="11" style="2" hidden="1" customWidth="1"/>
    <col min="12" max="12" width="11" style="2" customWidth="1"/>
    <col min="13" max="13" width="11.5703125" style="2" bestFit="1" customWidth="1"/>
    <col min="14" max="20" width="11.28515625" style="2" customWidth="1"/>
    <col min="21" max="16384" width="9.140625" style="2"/>
  </cols>
  <sheetData>
    <row r="1" spans="1:20" ht="19.5" customHeight="1">
      <c r="C1" s="84" t="s">
        <v>902</v>
      </c>
    </row>
    <row r="2" spans="1:20" ht="6.75" customHeight="1">
      <c r="B2" s="24"/>
    </row>
    <row r="3" spans="1:20" ht="17.25" customHeight="1">
      <c r="J3" s="2"/>
      <c r="N3" s="381" t="s">
        <v>894</v>
      </c>
      <c r="O3" s="381"/>
      <c r="P3" s="381"/>
      <c r="Q3" s="381"/>
      <c r="R3" s="381"/>
      <c r="S3" s="381"/>
    </row>
    <row r="4" spans="1:20" ht="44.25" customHeight="1">
      <c r="A4" s="82" t="s">
        <v>278</v>
      </c>
      <c r="B4" s="74" t="s">
        <v>276</v>
      </c>
      <c r="C4" s="81" t="s">
        <v>275</v>
      </c>
      <c r="D4" s="75" t="s">
        <v>412</v>
      </c>
      <c r="E4" s="39" t="s">
        <v>274</v>
      </c>
      <c r="F4" s="76" t="s">
        <v>413</v>
      </c>
      <c r="G4" s="53" t="s">
        <v>411</v>
      </c>
      <c r="H4" s="61" t="s">
        <v>267</v>
      </c>
      <c r="I4" s="34" t="s">
        <v>273</v>
      </c>
      <c r="J4" s="77" t="s">
        <v>270</v>
      </c>
      <c r="K4" s="77" t="s">
        <v>269</v>
      </c>
      <c r="L4" s="73" t="s">
        <v>268</v>
      </c>
      <c r="M4" s="72" t="s">
        <v>904</v>
      </c>
      <c r="N4" s="219" t="s">
        <v>895</v>
      </c>
      <c r="O4" s="221" t="s">
        <v>896</v>
      </c>
      <c r="P4" s="222" t="s">
        <v>897</v>
      </c>
      <c r="Q4" s="220" t="s">
        <v>898</v>
      </c>
      <c r="R4" s="223" t="s">
        <v>899</v>
      </c>
      <c r="S4" s="218" t="s">
        <v>900</v>
      </c>
      <c r="T4" s="243" t="s">
        <v>915</v>
      </c>
    </row>
    <row r="5" spans="1:20" ht="52.5" customHeight="1">
      <c r="A5" s="12">
        <v>1</v>
      </c>
      <c r="B5" s="10" t="s">
        <v>266</v>
      </c>
      <c r="C5" s="14" t="s">
        <v>865</v>
      </c>
      <c r="D5" s="6">
        <v>2</v>
      </c>
      <c r="E5" s="8" t="s">
        <v>144</v>
      </c>
      <c r="F5" s="8">
        <v>1</v>
      </c>
      <c r="G5" s="66" t="s">
        <v>397</v>
      </c>
      <c r="H5" s="5" t="s">
        <v>334</v>
      </c>
      <c r="I5" s="28" t="s">
        <v>184</v>
      </c>
      <c r="J5" s="43"/>
      <c r="K5" s="43"/>
      <c r="L5" s="43">
        <v>0</v>
      </c>
      <c r="M5" s="78">
        <f>+J5+K5+L5</f>
        <v>0</v>
      </c>
      <c r="N5" s="78"/>
      <c r="O5" s="78"/>
      <c r="P5" s="78"/>
      <c r="Q5" s="78"/>
      <c r="R5" s="78"/>
      <c r="S5" s="78"/>
      <c r="T5" s="78">
        <f>+M5</f>
        <v>0</v>
      </c>
    </row>
    <row r="6" spans="1:20" ht="52.5" customHeight="1">
      <c r="A6" s="12">
        <v>2</v>
      </c>
      <c r="B6" s="10" t="s">
        <v>264</v>
      </c>
      <c r="C6" s="14" t="s">
        <v>263</v>
      </c>
      <c r="D6" s="6">
        <v>1</v>
      </c>
      <c r="E6" s="8" t="s">
        <v>144</v>
      </c>
      <c r="F6" s="8">
        <v>1</v>
      </c>
      <c r="G6" s="66" t="s">
        <v>397</v>
      </c>
      <c r="H6" s="5" t="s">
        <v>334</v>
      </c>
      <c r="I6" s="28" t="s">
        <v>184</v>
      </c>
      <c r="J6" s="224"/>
      <c r="K6" s="224"/>
      <c r="L6" s="224">
        <f>'Dados Detalhados'!$L$37</f>
        <v>6177.64</v>
      </c>
      <c r="M6" s="78">
        <f t="shared" ref="M6:M69" si="0">+J6+K6+L6</f>
        <v>6177.64</v>
      </c>
      <c r="N6" s="78">
        <f>+M6</f>
        <v>6177.64</v>
      </c>
      <c r="O6" s="78"/>
      <c r="P6" s="78"/>
      <c r="Q6" s="78"/>
      <c r="R6" s="78"/>
      <c r="S6" s="78"/>
      <c r="T6" s="78"/>
    </row>
    <row r="7" spans="1:20" ht="52.5" customHeight="1">
      <c r="A7" s="12">
        <v>3</v>
      </c>
      <c r="B7" s="10" t="s">
        <v>262</v>
      </c>
      <c r="C7" s="14" t="s">
        <v>261</v>
      </c>
      <c r="D7" s="6">
        <v>3</v>
      </c>
      <c r="E7" s="8" t="s">
        <v>144</v>
      </c>
      <c r="F7" s="8">
        <v>1</v>
      </c>
      <c r="G7" s="66" t="s">
        <v>397</v>
      </c>
      <c r="H7" s="5" t="s">
        <v>334</v>
      </c>
      <c r="I7" s="28" t="s">
        <v>184</v>
      </c>
      <c r="J7" s="43"/>
      <c r="K7" s="43"/>
      <c r="L7" s="43">
        <f>'Dados Detalhados'!$L$66</f>
        <v>3315.83</v>
      </c>
      <c r="M7" s="78">
        <f t="shared" si="0"/>
        <v>3315.83</v>
      </c>
      <c r="N7" s="78"/>
      <c r="O7" s="78"/>
      <c r="P7" s="78"/>
      <c r="Q7" s="78"/>
      <c r="R7" s="78"/>
      <c r="S7" s="78"/>
      <c r="T7" s="78">
        <f>+M7</f>
        <v>3315.83</v>
      </c>
    </row>
    <row r="8" spans="1:20" ht="52.5" customHeight="1">
      <c r="A8" s="12">
        <v>4</v>
      </c>
      <c r="B8" s="10" t="s">
        <v>260</v>
      </c>
      <c r="C8" s="14" t="s">
        <v>259</v>
      </c>
      <c r="D8" s="6">
        <v>1</v>
      </c>
      <c r="E8" s="8" t="s">
        <v>144</v>
      </c>
      <c r="F8" s="8">
        <v>1</v>
      </c>
      <c r="G8" s="66" t="s">
        <v>397</v>
      </c>
      <c r="H8" s="5" t="s">
        <v>334</v>
      </c>
      <c r="I8" s="28" t="s">
        <v>184</v>
      </c>
      <c r="J8" s="224"/>
      <c r="K8" s="224"/>
      <c r="L8" s="224">
        <f>'Dados Detalhados'!$L$95</f>
        <v>1905.11</v>
      </c>
      <c r="M8" s="78">
        <f t="shared" si="0"/>
        <v>1905.11</v>
      </c>
      <c r="N8" s="78">
        <f t="shared" ref="N8:N71" si="1">+M8</f>
        <v>1905.11</v>
      </c>
      <c r="O8" s="78"/>
      <c r="P8" s="78"/>
      <c r="Q8" s="78"/>
      <c r="R8" s="78"/>
      <c r="S8" s="78"/>
      <c r="T8" s="78"/>
    </row>
    <row r="9" spans="1:20" ht="52.5" customHeight="1">
      <c r="A9" s="12">
        <v>5</v>
      </c>
      <c r="B9" s="10" t="s">
        <v>258</v>
      </c>
      <c r="C9" s="14" t="s">
        <v>257</v>
      </c>
      <c r="D9" s="6">
        <v>3</v>
      </c>
      <c r="E9" s="8" t="s">
        <v>144</v>
      </c>
      <c r="F9" s="8">
        <v>1</v>
      </c>
      <c r="G9" s="66" t="s">
        <v>397</v>
      </c>
      <c r="H9" s="5" t="s">
        <v>334</v>
      </c>
      <c r="I9" s="28" t="s">
        <v>184</v>
      </c>
      <c r="J9" s="224"/>
      <c r="K9" s="224"/>
      <c r="L9" s="224">
        <f>'Dados Detalhados'!$L$124</f>
        <v>2951.1100000000006</v>
      </c>
      <c r="M9" s="78">
        <f t="shared" si="0"/>
        <v>2951.1100000000006</v>
      </c>
      <c r="N9" s="78">
        <f t="shared" si="1"/>
        <v>2951.1100000000006</v>
      </c>
      <c r="O9" s="78"/>
      <c r="P9" s="78"/>
      <c r="Q9" s="78"/>
      <c r="R9" s="78"/>
      <c r="S9" s="78"/>
      <c r="T9" s="78"/>
    </row>
    <row r="10" spans="1:20" ht="52.5" customHeight="1">
      <c r="A10" s="12">
        <v>6</v>
      </c>
      <c r="B10" s="10" t="s">
        <v>256</v>
      </c>
      <c r="C10" s="14" t="s">
        <v>255</v>
      </c>
      <c r="D10" s="6">
        <v>3</v>
      </c>
      <c r="E10" s="8" t="s">
        <v>144</v>
      </c>
      <c r="F10" s="8">
        <v>1</v>
      </c>
      <c r="G10" s="66" t="s">
        <v>397</v>
      </c>
      <c r="H10" s="5" t="s">
        <v>334</v>
      </c>
      <c r="I10" s="28" t="s">
        <v>184</v>
      </c>
      <c r="J10" s="43"/>
      <c r="K10" s="43"/>
      <c r="L10" s="43">
        <v>0</v>
      </c>
      <c r="M10" s="78">
        <f t="shared" si="0"/>
        <v>0</v>
      </c>
      <c r="N10" s="78"/>
      <c r="O10" s="78"/>
      <c r="P10" s="78"/>
      <c r="Q10" s="78"/>
      <c r="R10" s="78"/>
      <c r="S10" s="78"/>
      <c r="T10" s="78">
        <f>+M10</f>
        <v>0</v>
      </c>
    </row>
    <row r="11" spans="1:20" ht="52.5" customHeight="1">
      <c r="A11" s="12">
        <v>7</v>
      </c>
      <c r="B11" s="14" t="s">
        <v>254</v>
      </c>
      <c r="C11" s="14" t="s">
        <v>253</v>
      </c>
      <c r="D11" s="6">
        <v>2</v>
      </c>
      <c r="E11" s="8" t="s">
        <v>144</v>
      </c>
      <c r="F11" s="8">
        <v>1</v>
      </c>
      <c r="G11" s="66" t="s">
        <v>397</v>
      </c>
      <c r="H11" s="5" t="s">
        <v>334</v>
      </c>
      <c r="I11" s="28" t="s">
        <v>184</v>
      </c>
      <c r="J11" s="225"/>
      <c r="K11" s="43"/>
      <c r="L11" s="43">
        <v>0</v>
      </c>
      <c r="M11" s="78">
        <f t="shared" si="0"/>
        <v>0</v>
      </c>
      <c r="N11" s="78"/>
      <c r="O11" s="78"/>
      <c r="P11" s="78">
        <f t="shared" ref="P11:P52" si="2">+M11</f>
        <v>0</v>
      </c>
      <c r="Q11" s="78"/>
      <c r="R11" s="78"/>
      <c r="S11" s="78"/>
      <c r="T11" s="78"/>
    </row>
    <row r="12" spans="1:20" ht="52.5" customHeight="1">
      <c r="A12" s="12">
        <v>8</v>
      </c>
      <c r="B12" s="14" t="s">
        <v>252</v>
      </c>
      <c r="C12" s="14" t="s">
        <v>251</v>
      </c>
      <c r="D12" s="6">
        <v>1</v>
      </c>
      <c r="E12" s="8" t="s">
        <v>144</v>
      </c>
      <c r="F12" s="8">
        <v>1</v>
      </c>
      <c r="G12" s="66" t="s">
        <v>397</v>
      </c>
      <c r="H12" s="5"/>
      <c r="I12" s="28" t="s">
        <v>184</v>
      </c>
      <c r="J12" s="43"/>
      <c r="K12" s="43"/>
      <c r="L12" s="43">
        <v>0</v>
      </c>
      <c r="M12" s="78">
        <f t="shared" si="0"/>
        <v>0</v>
      </c>
      <c r="N12" s="78"/>
      <c r="O12" s="78"/>
      <c r="P12" s="78"/>
      <c r="Q12" s="78"/>
      <c r="R12" s="78"/>
      <c r="S12" s="78"/>
      <c r="T12" s="78">
        <f t="shared" ref="T12:T75" si="3">+M12</f>
        <v>0</v>
      </c>
    </row>
    <row r="13" spans="1:20" ht="52.5" customHeight="1">
      <c r="A13" s="12">
        <v>9</v>
      </c>
      <c r="B13" s="10" t="s">
        <v>250</v>
      </c>
      <c r="C13" s="14" t="s">
        <v>249</v>
      </c>
      <c r="D13" s="6">
        <v>1</v>
      </c>
      <c r="E13" s="8" t="s">
        <v>144</v>
      </c>
      <c r="F13" s="8">
        <v>1</v>
      </c>
      <c r="G13" s="66" t="s">
        <v>397</v>
      </c>
      <c r="H13" s="5" t="s">
        <v>334</v>
      </c>
      <c r="I13" s="28" t="s">
        <v>184</v>
      </c>
      <c r="J13" s="43"/>
      <c r="K13" s="224"/>
      <c r="L13" s="43">
        <v>0</v>
      </c>
      <c r="M13" s="78">
        <f t="shared" si="0"/>
        <v>0</v>
      </c>
      <c r="N13" s="78">
        <f t="shared" si="1"/>
        <v>0</v>
      </c>
      <c r="O13" s="78"/>
      <c r="P13" s="78"/>
      <c r="Q13" s="78"/>
      <c r="R13" s="78"/>
      <c r="S13" s="78"/>
      <c r="T13" s="78"/>
    </row>
    <row r="14" spans="1:20" ht="52.5" customHeight="1">
      <c r="A14" s="12">
        <v>10</v>
      </c>
      <c r="B14" s="10" t="s">
        <v>248</v>
      </c>
      <c r="C14" s="10" t="s">
        <v>247</v>
      </c>
      <c r="D14" s="6">
        <v>3</v>
      </c>
      <c r="E14" s="8" t="s">
        <v>144</v>
      </c>
      <c r="F14" s="8">
        <v>1</v>
      </c>
      <c r="G14" s="66" t="s">
        <v>397</v>
      </c>
      <c r="H14" s="9" t="s">
        <v>334</v>
      </c>
      <c r="I14" s="28" t="s">
        <v>184</v>
      </c>
      <c r="J14" s="43"/>
      <c r="K14" s="43"/>
      <c r="L14" s="43">
        <v>0</v>
      </c>
      <c r="M14" s="78">
        <f t="shared" si="0"/>
        <v>0</v>
      </c>
      <c r="N14" s="78"/>
      <c r="O14" s="78"/>
      <c r="P14" s="78"/>
      <c r="Q14" s="78"/>
      <c r="R14" s="78">
        <f t="shared" ref="R14:R62" si="4">+M14</f>
        <v>0</v>
      </c>
      <c r="S14" s="78"/>
      <c r="T14" s="78"/>
    </row>
    <row r="15" spans="1:20" ht="52.5" customHeight="1">
      <c r="A15" s="12">
        <v>11</v>
      </c>
      <c r="B15" s="10" t="s">
        <v>246</v>
      </c>
      <c r="C15" s="51" t="s">
        <v>333</v>
      </c>
      <c r="D15" s="6">
        <v>1</v>
      </c>
      <c r="E15" s="8" t="s">
        <v>144</v>
      </c>
      <c r="F15" s="8">
        <v>1</v>
      </c>
      <c r="G15" s="66" t="s">
        <v>397</v>
      </c>
      <c r="H15" s="5"/>
      <c r="I15" s="28" t="s">
        <v>184</v>
      </c>
      <c r="J15" s="43"/>
      <c r="K15" s="43"/>
      <c r="L15" s="43"/>
      <c r="M15" s="78">
        <f t="shared" si="0"/>
        <v>0</v>
      </c>
      <c r="N15" s="78">
        <f t="shared" si="1"/>
        <v>0</v>
      </c>
      <c r="O15" s="78">
        <f t="shared" ref="O15:O51" si="5">+M15</f>
        <v>0</v>
      </c>
      <c r="P15" s="78">
        <f t="shared" si="2"/>
        <v>0</v>
      </c>
      <c r="Q15" s="78">
        <f t="shared" ref="Q15:Q51" si="6">+M15</f>
        <v>0</v>
      </c>
      <c r="R15" s="78">
        <f t="shared" si="4"/>
        <v>0</v>
      </c>
      <c r="S15" s="78"/>
      <c r="T15" s="78">
        <f t="shared" si="3"/>
        <v>0</v>
      </c>
    </row>
    <row r="16" spans="1:20" ht="52.5" customHeight="1">
      <c r="A16" s="12">
        <v>12</v>
      </c>
      <c r="B16" s="10" t="s">
        <v>245</v>
      </c>
      <c r="C16" s="51" t="s">
        <v>393</v>
      </c>
      <c r="D16" s="6">
        <v>1</v>
      </c>
      <c r="E16" s="8" t="s">
        <v>144</v>
      </c>
      <c r="F16" s="8">
        <v>1</v>
      </c>
      <c r="G16" s="66" t="s">
        <v>397</v>
      </c>
      <c r="H16" s="9"/>
      <c r="I16" s="28" t="s">
        <v>184</v>
      </c>
      <c r="J16" s="224"/>
      <c r="K16" s="224"/>
      <c r="L16" s="224">
        <f>'Dados Detalhados'!$L$247</f>
        <v>60330</v>
      </c>
      <c r="M16" s="78">
        <f t="shared" si="0"/>
        <v>60330</v>
      </c>
      <c r="N16" s="78">
        <f t="shared" si="1"/>
        <v>60330</v>
      </c>
      <c r="O16" s="78"/>
      <c r="P16" s="78"/>
      <c r="Q16" s="78"/>
      <c r="R16" s="78"/>
      <c r="S16" s="78"/>
      <c r="T16" s="78"/>
    </row>
    <row r="17" spans="1:20" ht="52.5" customHeight="1">
      <c r="A17" s="12">
        <v>13</v>
      </c>
      <c r="B17" s="10" t="s">
        <v>244</v>
      </c>
      <c r="C17" s="14" t="s">
        <v>243</v>
      </c>
      <c r="D17" s="6">
        <v>1</v>
      </c>
      <c r="E17" s="8" t="s">
        <v>144</v>
      </c>
      <c r="F17" s="8">
        <v>1</v>
      </c>
      <c r="G17" s="66" t="s">
        <v>397</v>
      </c>
      <c r="H17" s="5"/>
      <c r="I17" s="28" t="s">
        <v>184</v>
      </c>
      <c r="J17" s="43"/>
      <c r="K17" s="43"/>
      <c r="L17" s="43">
        <v>0</v>
      </c>
      <c r="M17" s="78">
        <f t="shared" si="0"/>
        <v>0</v>
      </c>
      <c r="N17" s="78"/>
      <c r="O17" s="78">
        <f t="shared" si="5"/>
        <v>0</v>
      </c>
      <c r="P17" s="78"/>
      <c r="Q17" s="78"/>
      <c r="R17" s="78"/>
      <c r="S17" s="78"/>
      <c r="T17" s="78"/>
    </row>
    <row r="18" spans="1:20" ht="52.5" customHeight="1">
      <c r="A18" s="12">
        <v>14</v>
      </c>
      <c r="B18" s="10" t="s">
        <v>242</v>
      </c>
      <c r="C18" s="14" t="s">
        <v>241</v>
      </c>
      <c r="D18" s="6">
        <v>1</v>
      </c>
      <c r="E18" s="8" t="s">
        <v>144</v>
      </c>
      <c r="F18" s="8">
        <v>1</v>
      </c>
      <c r="G18" s="66" t="s">
        <v>397</v>
      </c>
      <c r="H18" s="5" t="s">
        <v>332</v>
      </c>
      <c r="I18" s="28" t="s">
        <v>184</v>
      </c>
      <c r="J18" s="224"/>
      <c r="K18" s="43"/>
      <c r="L18" s="43">
        <v>0</v>
      </c>
      <c r="M18" s="78">
        <f t="shared" si="0"/>
        <v>0</v>
      </c>
      <c r="N18" s="78">
        <f t="shared" si="1"/>
        <v>0</v>
      </c>
      <c r="O18" s="78"/>
      <c r="P18" s="78"/>
      <c r="Q18" s="78"/>
      <c r="R18" s="78"/>
      <c r="S18" s="78"/>
      <c r="T18" s="78"/>
    </row>
    <row r="19" spans="1:20" ht="52.5" customHeight="1">
      <c r="A19" s="12">
        <v>15</v>
      </c>
      <c r="B19" s="10" t="s">
        <v>240</v>
      </c>
      <c r="C19" s="14" t="s">
        <v>239</v>
      </c>
      <c r="D19" s="6">
        <v>1</v>
      </c>
      <c r="E19" s="8" t="s">
        <v>144</v>
      </c>
      <c r="F19" s="8">
        <v>1</v>
      </c>
      <c r="G19" s="66" t="s">
        <v>397</v>
      </c>
      <c r="H19" s="5" t="s">
        <v>332</v>
      </c>
      <c r="I19" s="28" t="s">
        <v>184</v>
      </c>
      <c r="J19" s="43"/>
      <c r="K19" s="43"/>
      <c r="L19" s="43">
        <v>0</v>
      </c>
      <c r="M19" s="78">
        <f t="shared" si="0"/>
        <v>0</v>
      </c>
      <c r="N19" s="78">
        <f t="shared" si="1"/>
        <v>0</v>
      </c>
      <c r="O19" s="78"/>
      <c r="P19" s="78"/>
      <c r="Q19" s="78"/>
      <c r="R19" s="78"/>
      <c r="S19" s="78"/>
      <c r="T19" s="78"/>
    </row>
    <row r="20" spans="1:20" ht="52.5" customHeight="1">
      <c r="A20" s="12">
        <v>16</v>
      </c>
      <c r="B20" s="10" t="s">
        <v>238</v>
      </c>
      <c r="C20" s="14" t="s">
        <v>237</v>
      </c>
      <c r="D20" s="6">
        <v>2</v>
      </c>
      <c r="E20" s="8" t="s">
        <v>144</v>
      </c>
      <c r="F20" s="8">
        <v>1</v>
      </c>
      <c r="G20" s="66" t="s">
        <v>397</v>
      </c>
      <c r="H20" s="5" t="s">
        <v>332</v>
      </c>
      <c r="I20" s="28" t="s">
        <v>184</v>
      </c>
      <c r="J20" s="43"/>
      <c r="K20" s="43"/>
      <c r="L20" s="43">
        <v>0</v>
      </c>
      <c r="M20" s="78">
        <f t="shared" si="0"/>
        <v>0</v>
      </c>
      <c r="N20" s="78"/>
      <c r="O20" s="78"/>
      <c r="P20" s="78"/>
      <c r="Q20" s="78"/>
      <c r="R20" s="78"/>
      <c r="S20" s="78"/>
      <c r="T20" s="78">
        <f t="shared" si="3"/>
        <v>0</v>
      </c>
    </row>
    <row r="21" spans="1:20" ht="52.5" customHeight="1">
      <c r="A21" s="12">
        <v>17</v>
      </c>
      <c r="B21" s="10" t="s">
        <v>236</v>
      </c>
      <c r="C21" s="14" t="s">
        <v>235</v>
      </c>
      <c r="D21" s="6">
        <v>1</v>
      </c>
      <c r="E21" s="8" t="s">
        <v>144</v>
      </c>
      <c r="F21" s="8">
        <v>1</v>
      </c>
      <c r="G21" s="66" t="s">
        <v>397</v>
      </c>
      <c r="H21" s="5" t="s">
        <v>332</v>
      </c>
      <c r="I21" s="28" t="s">
        <v>184</v>
      </c>
      <c r="J21" s="43"/>
      <c r="K21" s="43"/>
      <c r="L21" s="43">
        <v>0</v>
      </c>
      <c r="M21" s="78">
        <f t="shared" si="0"/>
        <v>0</v>
      </c>
      <c r="N21" s="78"/>
      <c r="O21" s="78"/>
      <c r="P21" s="78"/>
      <c r="Q21" s="78"/>
      <c r="R21" s="78"/>
      <c r="S21" s="78"/>
      <c r="T21" s="78">
        <f t="shared" si="3"/>
        <v>0</v>
      </c>
    </row>
    <row r="22" spans="1:20" ht="52.5" customHeight="1">
      <c r="A22" s="12">
        <v>18</v>
      </c>
      <c r="B22" s="10" t="s">
        <v>234</v>
      </c>
      <c r="C22" s="14" t="s">
        <v>233</v>
      </c>
      <c r="D22" s="6">
        <v>1</v>
      </c>
      <c r="E22" s="8" t="s">
        <v>389</v>
      </c>
      <c r="F22" s="8">
        <v>2</v>
      </c>
      <c r="G22" s="66" t="s">
        <v>400</v>
      </c>
      <c r="H22" s="5" t="s">
        <v>332</v>
      </c>
      <c r="I22" s="28" t="s">
        <v>184</v>
      </c>
      <c r="J22" s="43"/>
      <c r="K22" s="43"/>
      <c r="L22" s="43">
        <v>0</v>
      </c>
      <c r="M22" s="78">
        <f t="shared" si="0"/>
        <v>0</v>
      </c>
      <c r="N22" s="78"/>
      <c r="O22" s="78"/>
      <c r="P22" s="78"/>
      <c r="Q22" s="78"/>
      <c r="R22" s="78"/>
      <c r="S22" s="78"/>
      <c r="T22" s="78">
        <f t="shared" si="3"/>
        <v>0</v>
      </c>
    </row>
    <row r="23" spans="1:20" ht="52.5" customHeight="1">
      <c r="A23" s="12">
        <v>19</v>
      </c>
      <c r="B23" s="10" t="s">
        <v>232</v>
      </c>
      <c r="C23" s="14" t="s">
        <v>231</v>
      </c>
      <c r="D23" s="6">
        <v>1</v>
      </c>
      <c r="E23" s="8" t="s">
        <v>144</v>
      </c>
      <c r="F23" s="8">
        <v>1</v>
      </c>
      <c r="G23" s="66" t="s">
        <v>399</v>
      </c>
      <c r="H23" s="5" t="s">
        <v>332</v>
      </c>
      <c r="I23" s="28" t="s">
        <v>184</v>
      </c>
      <c r="J23" s="224"/>
      <c r="K23" s="43"/>
      <c r="L23" s="43">
        <v>0</v>
      </c>
      <c r="M23" s="78">
        <f t="shared" si="0"/>
        <v>0</v>
      </c>
      <c r="N23" s="78">
        <f t="shared" si="1"/>
        <v>0</v>
      </c>
      <c r="O23" s="78"/>
      <c r="P23" s="78"/>
      <c r="Q23" s="78"/>
      <c r="R23" s="78"/>
      <c r="S23" s="78"/>
      <c r="T23" s="78"/>
    </row>
    <row r="24" spans="1:20" ht="52.5" customHeight="1">
      <c r="A24" s="12">
        <v>20</v>
      </c>
      <c r="B24" s="10" t="s">
        <v>230</v>
      </c>
      <c r="C24" s="14" t="s">
        <v>229</v>
      </c>
      <c r="D24" s="6">
        <v>1</v>
      </c>
      <c r="E24" s="8" t="s">
        <v>144</v>
      </c>
      <c r="F24" s="8">
        <v>1</v>
      </c>
      <c r="G24" s="66" t="s">
        <v>399</v>
      </c>
      <c r="H24" s="5" t="s">
        <v>332</v>
      </c>
      <c r="I24" s="28" t="s">
        <v>184</v>
      </c>
      <c r="J24" s="224"/>
      <c r="K24" s="43"/>
      <c r="L24" s="43">
        <v>0</v>
      </c>
      <c r="M24" s="78">
        <f t="shared" si="0"/>
        <v>0</v>
      </c>
      <c r="N24" s="78">
        <f t="shared" si="1"/>
        <v>0</v>
      </c>
      <c r="O24" s="78"/>
      <c r="P24" s="78"/>
      <c r="Q24" s="78"/>
      <c r="R24" s="78"/>
      <c r="S24" s="78"/>
      <c r="T24" s="78"/>
    </row>
    <row r="25" spans="1:20" ht="58.5" customHeight="1">
      <c r="A25" s="12">
        <v>21</v>
      </c>
      <c r="B25" s="10" t="s">
        <v>228</v>
      </c>
      <c r="C25" s="14" t="s">
        <v>227</v>
      </c>
      <c r="D25" s="6">
        <v>2</v>
      </c>
      <c r="E25" s="8" t="s">
        <v>144</v>
      </c>
      <c r="F25" s="8">
        <v>1</v>
      </c>
      <c r="G25" s="66" t="s">
        <v>399</v>
      </c>
      <c r="H25" s="5" t="s">
        <v>332</v>
      </c>
      <c r="I25" s="28" t="s">
        <v>184</v>
      </c>
      <c r="J25" s="43"/>
      <c r="K25" s="43"/>
      <c r="L25" s="43">
        <f>'Dados Detalhados'!$L$320</f>
        <v>4103.0599999999995</v>
      </c>
      <c r="M25" s="78">
        <f t="shared" si="0"/>
        <v>4103.0599999999995</v>
      </c>
      <c r="N25" s="78"/>
      <c r="O25" s="78"/>
      <c r="P25" s="78"/>
      <c r="Q25" s="78"/>
      <c r="R25" s="78"/>
      <c r="S25" s="78"/>
      <c r="T25" s="78">
        <f t="shared" si="3"/>
        <v>4103.0599999999995</v>
      </c>
    </row>
    <row r="26" spans="1:20" ht="52.5" customHeight="1">
      <c r="A26" s="12">
        <v>22</v>
      </c>
      <c r="B26" s="10" t="s">
        <v>226</v>
      </c>
      <c r="C26" s="14" t="s">
        <v>225</v>
      </c>
      <c r="D26" s="6">
        <v>1</v>
      </c>
      <c r="E26" s="8" t="s">
        <v>144</v>
      </c>
      <c r="F26" s="8">
        <v>1</v>
      </c>
      <c r="G26" s="66" t="s">
        <v>397</v>
      </c>
      <c r="H26" s="5" t="s">
        <v>331</v>
      </c>
      <c r="I26" s="28" t="s">
        <v>184</v>
      </c>
      <c r="J26" s="43"/>
      <c r="K26" s="43"/>
      <c r="L26" s="43">
        <v>0</v>
      </c>
      <c r="M26" s="78">
        <f t="shared" si="0"/>
        <v>0</v>
      </c>
      <c r="N26" s="78"/>
      <c r="O26" s="78"/>
      <c r="P26" s="78"/>
      <c r="Q26" s="78"/>
      <c r="R26" s="78">
        <f t="shared" si="4"/>
        <v>0</v>
      </c>
      <c r="S26" s="78"/>
      <c r="T26" s="78"/>
    </row>
    <row r="27" spans="1:20" ht="52.5" customHeight="1">
      <c r="A27" s="12">
        <v>23</v>
      </c>
      <c r="B27" s="10" t="s">
        <v>2</v>
      </c>
      <c r="C27" s="10" t="s">
        <v>224</v>
      </c>
      <c r="D27" s="6">
        <v>3</v>
      </c>
      <c r="E27" s="8" t="s">
        <v>144</v>
      </c>
      <c r="F27" s="8">
        <v>1</v>
      </c>
      <c r="G27" s="66" t="s">
        <v>397</v>
      </c>
      <c r="H27" s="5" t="s">
        <v>330</v>
      </c>
      <c r="I27" s="28" t="s">
        <v>184</v>
      </c>
      <c r="J27" s="224"/>
      <c r="K27" s="224"/>
      <c r="L27" s="224">
        <f>'Dados Detalhados'!$L$355</f>
        <v>366.67</v>
      </c>
      <c r="M27" s="78">
        <f t="shared" si="0"/>
        <v>366.67</v>
      </c>
      <c r="N27" s="78">
        <f t="shared" si="1"/>
        <v>366.67</v>
      </c>
      <c r="O27" s="78"/>
      <c r="P27" s="78"/>
      <c r="Q27" s="78"/>
      <c r="R27" s="78"/>
      <c r="S27" s="78"/>
      <c r="T27" s="78"/>
    </row>
    <row r="28" spans="1:20" ht="52.5" customHeight="1">
      <c r="A28" s="12">
        <v>24</v>
      </c>
      <c r="B28" s="10" t="s">
        <v>223</v>
      </c>
      <c r="C28" s="10" t="s">
        <v>222</v>
      </c>
      <c r="D28" s="6">
        <v>1</v>
      </c>
      <c r="E28" s="8" t="s">
        <v>144</v>
      </c>
      <c r="F28" s="8">
        <v>1</v>
      </c>
      <c r="G28" s="66" t="s">
        <v>397</v>
      </c>
      <c r="H28" s="5"/>
      <c r="I28" s="28" t="s">
        <v>184</v>
      </c>
      <c r="J28" s="224"/>
      <c r="K28" s="224"/>
      <c r="L28" s="224">
        <v>5426</v>
      </c>
      <c r="M28" s="78">
        <f t="shared" si="0"/>
        <v>5426</v>
      </c>
      <c r="N28" s="78">
        <f t="shared" si="1"/>
        <v>5426</v>
      </c>
      <c r="O28" s="78"/>
      <c r="P28" s="78"/>
      <c r="Q28" s="78"/>
      <c r="R28" s="78"/>
      <c r="S28" s="78"/>
      <c r="T28" s="78"/>
    </row>
    <row r="29" spans="1:20" ht="52.5" customHeight="1">
      <c r="A29" s="12">
        <v>25</v>
      </c>
      <c r="B29" s="10" t="s">
        <v>221</v>
      </c>
      <c r="C29" s="18" t="s">
        <v>220</v>
      </c>
      <c r="D29" s="6">
        <v>1</v>
      </c>
      <c r="E29" s="8" t="s">
        <v>144</v>
      </c>
      <c r="F29" s="8">
        <v>1</v>
      </c>
      <c r="G29" s="66" t="s">
        <v>398</v>
      </c>
      <c r="H29" s="5" t="s">
        <v>329</v>
      </c>
      <c r="I29" s="28" t="s">
        <v>184</v>
      </c>
      <c r="J29" s="42"/>
      <c r="K29" s="42"/>
      <c r="L29" s="42">
        <f>'Dados Detalhados'!$L$368</f>
        <v>5904.7700000000013</v>
      </c>
      <c r="M29" s="78">
        <f t="shared" si="0"/>
        <v>5904.7700000000013</v>
      </c>
      <c r="N29" s="78"/>
      <c r="O29" s="78"/>
      <c r="P29" s="78"/>
      <c r="Q29" s="78"/>
      <c r="R29" s="78"/>
      <c r="S29" s="78"/>
      <c r="T29" s="78">
        <f t="shared" si="3"/>
        <v>5904.7700000000013</v>
      </c>
    </row>
    <row r="30" spans="1:20" ht="52.5" customHeight="1">
      <c r="A30" s="12">
        <v>26</v>
      </c>
      <c r="B30" s="11" t="s">
        <v>219</v>
      </c>
      <c r="C30" s="1" t="s">
        <v>889</v>
      </c>
      <c r="D30" s="151">
        <v>1</v>
      </c>
      <c r="E30" s="33" t="s">
        <v>144</v>
      </c>
      <c r="F30" s="8">
        <v>1</v>
      </c>
      <c r="G30" s="66" t="s">
        <v>398</v>
      </c>
      <c r="H30" s="5"/>
      <c r="I30" s="28" t="s">
        <v>184</v>
      </c>
      <c r="J30" s="224"/>
      <c r="K30" s="224"/>
      <c r="L30" s="224">
        <f>'Dados Detalhados'!$L$395</f>
        <v>5074.08</v>
      </c>
      <c r="M30" s="78">
        <f t="shared" si="0"/>
        <v>5074.08</v>
      </c>
      <c r="N30" s="78">
        <f t="shared" si="1"/>
        <v>5074.08</v>
      </c>
      <c r="O30" s="78"/>
      <c r="P30" s="78"/>
      <c r="Q30" s="78"/>
      <c r="R30" s="78"/>
      <c r="S30" s="78"/>
      <c r="T30" s="78"/>
    </row>
    <row r="31" spans="1:20" ht="52.5" customHeight="1">
      <c r="A31" s="217" t="s">
        <v>890</v>
      </c>
      <c r="B31" s="51" t="s">
        <v>891</v>
      </c>
      <c r="C31" s="20" t="s">
        <v>892</v>
      </c>
      <c r="D31" s="212">
        <v>1</v>
      </c>
      <c r="E31" s="19" t="s">
        <v>144</v>
      </c>
      <c r="F31" s="19">
        <v>1</v>
      </c>
      <c r="G31" s="213" t="s">
        <v>398</v>
      </c>
      <c r="H31" s="216"/>
      <c r="I31" s="31"/>
      <c r="J31" s="48"/>
      <c r="K31" s="48"/>
      <c r="L31" s="48">
        <f>'Dados Detalhados'!H402</f>
        <v>85911.435903157457</v>
      </c>
      <c r="M31" s="78">
        <f t="shared" si="0"/>
        <v>85911.435903157457</v>
      </c>
      <c r="N31" s="78"/>
      <c r="O31" s="78"/>
      <c r="P31" s="78"/>
      <c r="Q31" s="78"/>
      <c r="R31" s="78">
        <f t="shared" si="4"/>
        <v>85911.435903157457</v>
      </c>
      <c r="S31" s="215"/>
      <c r="T31" s="78"/>
    </row>
    <row r="32" spans="1:20" ht="52.5" customHeight="1">
      <c r="A32" s="12">
        <v>27</v>
      </c>
      <c r="B32" s="10" t="s">
        <v>218</v>
      </c>
      <c r="C32" s="18" t="s">
        <v>217</v>
      </c>
      <c r="D32" s="6">
        <v>1</v>
      </c>
      <c r="E32" s="8" t="s">
        <v>144</v>
      </c>
      <c r="F32" s="8">
        <v>1</v>
      </c>
      <c r="G32" s="66" t="s">
        <v>398</v>
      </c>
      <c r="H32" s="5"/>
      <c r="I32" s="28" t="s">
        <v>184</v>
      </c>
      <c r="J32" s="224"/>
      <c r="K32" s="224"/>
      <c r="L32" s="224">
        <f>'Dados Detalhados'!$L$403</f>
        <v>6306.48</v>
      </c>
      <c r="M32" s="78">
        <f t="shared" si="0"/>
        <v>6306.48</v>
      </c>
      <c r="N32" s="78">
        <f t="shared" si="1"/>
        <v>6306.48</v>
      </c>
      <c r="O32" s="78"/>
      <c r="P32" s="78"/>
      <c r="Q32" s="78"/>
      <c r="R32" s="78"/>
      <c r="S32" s="78"/>
      <c r="T32" s="78"/>
    </row>
    <row r="33" spans="1:20" ht="52.5" customHeight="1">
      <c r="A33" s="12">
        <v>28</v>
      </c>
      <c r="B33" s="10" t="s">
        <v>215</v>
      </c>
      <c r="C33" s="18" t="s">
        <v>214</v>
      </c>
      <c r="D33" s="6">
        <v>1</v>
      </c>
      <c r="E33" s="8" t="s">
        <v>144</v>
      </c>
      <c r="F33" s="8">
        <v>1</v>
      </c>
      <c r="G33" s="66" t="s">
        <v>398</v>
      </c>
      <c r="H33" s="5"/>
      <c r="I33" s="28" t="s">
        <v>184</v>
      </c>
      <c r="J33" s="224"/>
      <c r="K33" s="224"/>
      <c r="L33" s="224">
        <f>'Dados Detalhados'!$L$406</f>
        <v>8320</v>
      </c>
      <c r="M33" s="78">
        <f t="shared" si="0"/>
        <v>8320</v>
      </c>
      <c r="N33" s="78">
        <f t="shared" si="1"/>
        <v>8320</v>
      </c>
      <c r="O33" s="78"/>
      <c r="P33" s="78"/>
      <c r="Q33" s="78"/>
      <c r="R33" s="78"/>
      <c r="S33" s="78"/>
      <c r="T33" s="78"/>
    </row>
    <row r="34" spans="1:20" ht="52.5" customHeight="1">
      <c r="A34" s="12">
        <v>29</v>
      </c>
      <c r="B34" s="10" t="s">
        <v>213</v>
      </c>
      <c r="C34" s="14" t="s">
        <v>212</v>
      </c>
      <c r="D34" s="6">
        <v>1</v>
      </c>
      <c r="E34" s="8" t="s">
        <v>144</v>
      </c>
      <c r="F34" s="8">
        <v>1</v>
      </c>
      <c r="G34" s="66" t="s">
        <v>398</v>
      </c>
      <c r="H34" s="5"/>
      <c r="I34" s="28" t="s">
        <v>184</v>
      </c>
      <c r="J34" s="224"/>
      <c r="K34" s="43"/>
      <c r="L34" s="43">
        <v>0</v>
      </c>
      <c r="M34" s="78">
        <f t="shared" si="0"/>
        <v>0</v>
      </c>
      <c r="N34" s="78">
        <f t="shared" si="1"/>
        <v>0</v>
      </c>
      <c r="O34" s="78"/>
      <c r="P34" s="78"/>
      <c r="Q34" s="78"/>
      <c r="R34" s="78"/>
      <c r="S34" s="78"/>
      <c r="T34" s="78"/>
    </row>
    <row r="35" spans="1:20" ht="58.5" customHeight="1">
      <c r="A35" s="12">
        <v>30</v>
      </c>
      <c r="B35" s="10" t="s">
        <v>211</v>
      </c>
      <c r="C35" s="14" t="s">
        <v>210</v>
      </c>
      <c r="D35" s="6">
        <v>1</v>
      </c>
      <c r="E35" s="8" t="s">
        <v>144</v>
      </c>
      <c r="F35" s="8">
        <v>1</v>
      </c>
      <c r="G35" s="66" t="s">
        <v>398</v>
      </c>
      <c r="H35" s="5"/>
      <c r="I35" s="28" t="s">
        <v>184</v>
      </c>
      <c r="J35" s="224"/>
      <c r="K35" s="43"/>
      <c r="L35" s="43">
        <v>0</v>
      </c>
      <c r="M35" s="78">
        <f t="shared" si="0"/>
        <v>0</v>
      </c>
      <c r="N35" s="78">
        <f t="shared" si="1"/>
        <v>0</v>
      </c>
      <c r="O35" s="78"/>
      <c r="P35" s="78"/>
      <c r="Q35" s="78"/>
      <c r="R35" s="78"/>
      <c r="S35" s="78"/>
      <c r="T35" s="78"/>
    </row>
    <row r="36" spans="1:20" ht="52.5" customHeight="1">
      <c r="A36" s="12">
        <v>31</v>
      </c>
      <c r="B36" s="14" t="s">
        <v>209</v>
      </c>
      <c r="C36" s="18" t="s">
        <v>208</v>
      </c>
      <c r="D36" s="6">
        <v>2</v>
      </c>
      <c r="E36" s="8" t="s">
        <v>144</v>
      </c>
      <c r="F36" s="8">
        <v>1</v>
      </c>
      <c r="G36" s="66" t="s">
        <v>398</v>
      </c>
      <c r="H36" s="5"/>
      <c r="I36" s="28" t="s">
        <v>184</v>
      </c>
      <c r="J36" s="42"/>
      <c r="K36" s="42"/>
      <c r="L36" s="42">
        <f>'Dados Detalhados'!$L$417</f>
        <v>1284</v>
      </c>
      <c r="M36" s="78">
        <f t="shared" si="0"/>
        <v>1284</v>
      </c>
      <c r="N36" s="78"/>
      <c r="O36" s="78"/>
      <c r="P36" s="78"/>
      <c r="Q36" s="78"/>
      <c r="R36" s="78"/>
      <c r="S36" s="78"/>
      <c r="T36" s="78">
        <f t="shared" si="3"/>
        <v>1284</v>
      </c>
    </row>
    <row r="37" spans="1:20" ht="52.5" customHeight="1">
      <c r="A37" s="12">
        <v>32</v>
      </c>
      <c r="B37" s="10" t="s">
        <v>207</v>
      </c>
      <c r="C37" s="14" t="s">
        <v>206</v>
      </c>
      <c r="D37" s="6">
        <v>1</v>
      </c>
      <c r="E37" s="8" t="s">
        <v>144</v>
      </c>
      <c r="F37" s="8">
        <v>1</v>
      </c>
      <c r="G37" s="66" t="s">
        <v>399</v>
      </c>
      <c r="H37" s="5"/>
      <c r="I37" s="28" t="s">
        <v>184</v>
      </c>
      <c r="J37" s="224"/>
      <c r="K37" s="43"/>
      <c r="L37" s="43">
        <v>0</v>
      </c>
      <c r="M37" s="78">
        <f t="shared" si="0"/>
        <v>0</v>
      </c>
      <c r="N37" s="78">
        <f>+M37</f>
        <v>0</v>
      </c>
      <c r="O37" s="78"/>
      <c r="P37" s="78"/>
      <c r="Q37" s="78"/>
      <c r="R37" s="78"/>
      <c r="S37" s="78"/>
      <c r="T37" s="78"/>
    </row>
    <row r="38" spans="1:20" ht="52.5" customHeight="1">
      <c r="A38" s="12">
        <v>33</v>
      </c>
      <c r="B38" s="10" t="s">
        <v>205</v>
      </c>
      <c r="C38" s="14" t="s">
        <v>204</v>
      </c>
      <c r="D38" s="6">
        <v>1</v>
      </c>
      <c r="E38" s="8" t="s">
        <v>144</v>
      </c>
      <c r="F38" s="8">
        <v>1</v>
      </c>
      <c r="G38" s="66" t="s">
        <v>399</v>
      </c>
      <c r="H38" s="5"/>
      <c r="I38" s="28" t="s">
        <v>184</v>
      </c>
      <c r="J38" s="224"/>
      <c r="K38" s="43"/>
      <c r="L38" s="43">
        <f>'Dados Detalhados'!$L$421</f>
        <v>5100</v>
      </c>
      <c r="M38" s="78">
        <f t="shared" si="0"/>
        <v>5100</v>
      </c>
      <c r="N38" s="78">
        <f t="shared" si="1"/>
        <v>5100</v>
      </c>
      <c r="O38" s="78"/>
      <c r="P38" s="78"/>
      <c r="Q38" s="78"/>
      <c r="R38" s="78"/>
      <c r="S38" s="78"/>
      <c r="T38" s="78"/>
    </row>
    <row r="39" spans="1:20" ht="52.5" customHeight="1">
      <c r="A39" s="12">
        <v>34</v>
      </c>
      <c r="B39" s="10" t="s">
        <v>203</v>
      </c>
      <c r="C39" s="14" t="s">
        <v>202</v>
      </c>
      <c r="D39" s="6">
        <v>1</v>
      </c>
      <c r="E39" s="8" t="s">
        <v>144</v>
      </c>
      <c r="F39" s="8">
        <v>1</v>
      </c>
      <c r="G39" s="66" t="s">
        <v>399</v>
      </c>
      <c r="H39" s="5"/>
      <c r="I39" s="28" t="s">
        <v>184</v>
      </c>
      <c r="J39" s="224"/>
      <c r="K39" s="43"/>
      <c r="L39" s="43">
        <f>'Dados Detalhados'!$L$423</f>
        <v>700</v>
      </c>
      <c r="M39" s="78">
        <f t="shared" si="0"/>
        <v>700</v>
      </c>
      <c r="N39" s="78">
        <f t="shared" si="1"/>
        <v>700</v>
      </c>
      <c r="O39" s="78"/>
      <c r="P39" s="78"/>
      <c r="Q39" s="78"/>
      <c r="R39" s="78"/>
      <c r="S39" s="78"/>
      <c r="T39" s="78"/>
    </row>
    <row r="40" spans="1:20" ht="67.5" customHeight="1">
      <c r="A40" s="12">
        <v>35</v>
      </c>
      <c r="B40" s="10" t="s">
        <v>200</v>
      </c>
      <c r="C40" s="14" t="s">
        <v>199</v>
      </c>
      <c r="D40" s="6">
        <v>2</v>
      </c>
      <c r="E40" s="8" t="s">
        <v>144</v>
      </c>
      <c r="F40" s="8">
        <v>1</v>
      </c>
      <c r="G40" s="66" t="s">
        <v>398</v>
      </c>
      <c r="H40" s="5"/>
      <c r="I40" s="28" t="s">
        <v>184</v>
      </c>
      <c r="J40" s="43"/>
      <c r="K40" s="43"/>
      <c r="L40" s="43">
        <v>0</v>
      </c>
      <c r="M40" s="78">
        <f t="shared" si="0"/>
        <v>0</v>
      </c>
      <c r="N40" s="78">
        <f t="shared" si="1"/>
        <v>0</v>
      </c>
      <c r="O40" s="78"/>
      <c r="P40" s="78"/>
      <c r="Q40" s="78"/>
      <c r="R40" s="78"/>
      <c r="S40" s="78"/>
      <c r="T40" s="78"/>
    </row>
    <row r="41" spans="1:20" ht="52.5" customHeight="1">
      <c r="A41" s="12">
        <v>36</v>
      </c>
      <c r="B41" s="10" t="s">
        <v>198</v>
      </c>
      <c r="C41" s="14" t="s">
        <v>197</v>
      </c>
      <c r="D41" s="6">
        <v>3</v>
      </c>
      <c r="E41" s="8" t="s">
        <v>144</v>
      </c>
      <c r="F41" s="8">
        <v>1</v>
      </c>
      <c r="G41" s="66" t="s">
        <v>397</v>
      </c>
      <c r="H41" s="5"/>
      <c r="I41" s="28" t="s">
        <v>184</v>
      </c>
      <c r="J41" s="43"/>
      <c r="K41" s="43"/>
      <c r="L41" s="43">
        <v>0</v>
      </c>
      <c r="M41" s="78">
        <f t="shared" si="0"/>
        <v>0</v>
      </c>
      <c r="N41" s="78"/>
      <c r="O41" s="78"/>
      <c r="P41" s="78"/>
      <c r="Q41" s="78"/>
      <c r="R41" s="78"/>
      <c r="S41" s="78"/>
      <c r="T41" s="78">
        <f t="shared" si="3"/>
        <v>0</v>
      </c>
    </row>
    <row r="42" spans="1:20" ht="52.5" customHeight="1">
      <c r="A42" s="12">
        <v>37</v>
      </c>
      <c r="B42" s="27" t="s">
        <v>196</v>
      </c>
      <c r="C42" s="14" t="s">
        <v>195</v>
      </c>
      <c r="D42" s="6">
        <v>1</v>
      </c>
      <c r="E42" s="8" t="s">
        <v>144</v>
      </c>
      <c r="F42" s="8">
        <v>1</v>
      </c>
      <c r="G42" s="66" t="s">
        <v>397</v>
      </c>
      <c r="H42" s="5" t="s">
        <v>328</v>
      </c>
      <c r="I42" s="28" t="s">
        <v>184</v>
      </c>
      <c r="J42" s="224"/>
      <c r="K42" s="224"/>
      <c r="L42" s="224">
        <f>'Dados Detalhados'!$L$433</f>
        <v>2313.6899999999996</v>
      </c>
      <c r="M42" s="78">
        <f t="shared" si="0"/>
        <v>2313.6899999999996</v>
      </c>
      <c r="N42" s="78">
        <f t="shared" si="1"/>
        <v>2313.6899999999996</v>
      </c>
      <c r="O42" s="78"/>
      <c r="P42" s="78"/>
      <c r="Q42" s="78"/>
      <c r="R42" s="78"/>
      <c r="S42" s="78"/>
      <c r="T42" s="78"/>
    </row>
    <row r="43" spans="1:20" ht="52.5" customHeight="1">
      <c r="A43" s="12">
        <v>38</v>
      </c>
      <c r="B43" s="10" t="s">
        <v>194</v>
      </c>
      <c r="C43" s="14" t="s">
        <v>193</v>
      </c>
      <c r="D43" s="6">
        <v>1</v>
      </c>
      <c r="E43" s="8" t="s">
        <v>144</v>
      </c>
      <c r="F43" s="8">
        <v>1</v>
      </c>
      <c r="G43" s="66" t="s">
        <v>398</v>
      </c>
      <c r="H43" s="5"/>
      <c r="I43" s="28" t="s">
        <v>184</v>
      </c>
      <c r="J43" s="224"/>
      <c r="K43" s="224"/>
      <c r="L43" s="224">
        <f>'Dados Detalhados'!$L$450</f>
        <v>1713.6</v>
      </c>
      <c r="M43" s="78">
        <f t="shared" si="0"/>
        <v>1713.6</v>
      </c>
      <c r="N43" s="78">
        <f t="shared" si="1"/>
        <v>1713.6</v>
      </c>
      <c r="O43" s="78"/>
      <c r="P43" s="78"/>
      <c r="Q43" s="78"/>
      <c r="R43" s="78"/>
      <c r="S43" s="78"/>
      <c r="T43" s="78"/>
    </row>
    <row r="44" spans="1:20" ht="52.5" customHeight="1">
      <c r="A44" s="12">
        <v>39</v>
      </c>
      <c r="B44" s="10" t="s">
        <v>192</v>
      </c>
      <c r="C44" s="14" t="s">
        <v>191</v>
      </c>
      <c r="D44" s="6">
        <v>1</v>
      </c>
      <c r="E44" s="8" t="s">
        <v>144</v>
      </c>
      <c r="F44" s="8">
        <v>1</v>
      </c>
      <c r="G44" s="66" t="s">
        <v>398</v>
      </c>
      <c r="H44" s="5"/>
      <c r="I44" s="28" t="s">
        <v>184</v>
      </c>
      <c r="J44" s="48"/>
      <c r="K44" s="48"/>
      <c r="L44" s="48">
        <f>'Dados Detalhados'!$L$453</f>
        <v>400</v>
      </c>
      <c r="M44" s="78">
        <f t="shared" si="0"/>
        <v>400</v>
      </c>
      <c r="N44" s="78"/>
      <c r="O44" s="78"/>
      <c r="P44" s="78"/>
      <c r="Q44" s="78"/>
      <c r="R44" s="78">
        <f t="shared" si="4"/>
        <v>400</v>
      </c>
      <c r="S44" s="78"/>
      <c r="T44" s="78"/>
    </row>
    <row r="45" spans="1:20" ht="52.5" customHeight="1">
      <c r="A45" s="12">
        <v>40</v>
      </c>
      <c r="B45" s="60" t="s">
        <v>190</v>
      </c>
      <c r="C45" s="60" t="s">
        <v>189</v>
      </c>
      <c r="D45" s="6">
        <v>1</v>
      </c>
      <c r="E45" s="8" t="s">
        <v>144</v>
      </c>
      <c r="F45" s="8">
        <v>1</v>
      </c>
      <c r="G45" s="66" t="s">
        <v>398</v>
      </c>
      <c r="H45" s="5"/>
      <c r="I45" s="28" t="s">
        <v>184</v>
      </c>
      <c r="J45" s="224"/>
      <c r="K45" s="43"/>
      <c r="L45" s="43">
        <v>0</v>
      </c>
      <c r="M45" s="78">
        <f t="shared" si="0"/>
        <v>0</v>
      </c>
      <c r="N45" s="78">
        <f t="shared" si="1"/>
        <v>0</v>
      </c>
      <c r="O45" s="78"/>
      <c r="P45" s="78"/>
      <c r="Q45" s="78"/>
      <c r="R45" s="78"/>
      <c r="S45" s="78"/>
      <c r="T45" s="78"/>
    </row>
    <row r="46" spans="1:20" ht="52.5" customHeight="1">
      <c r="A46" s="12">
        <v>41</v>
      </c>
      <c r="B46" s="60" t="s">
        <v>188</v>
      </c>
      <c r="C46" s="60" t="s">
        <v>187</v>
      </c>
      <c r="D46" s="6">
        <v>1</v>
      </c>
      <c r="E46" s="8" t="s">
        <v>144</v>
      </c>
      <c r="F46" s="8">
        <v>1</v>
      </c>
      <c r="G46" s="66" t="s">
        <v>398</v>
      </c>
      <c r="H46" s="5"/>
      <c r="I46" s="28" t="s">
        <v>184</v>
      </c>
      <c r="J46" s="224"/>
      <c r="K46" s="43"/>
      <c r="L46" s="43">
        <v>5748.5</v>
      </c>
      <c r="M46" s="78">
        <f t="shared" si="0"/>
        <v>5748.5</v>
      </c>
      <c r="N46" s="78">
        <f t="shared" si="1"/>
        <v>5748.5</v>
      </c>
      <c r="O46" s="78"/>
      <c r="P46" s="78"/>
      <c r="Q46" s="78"/>
      <c r="R46" s="78"/>
      <c r="S46" s="78"/>
      <c r="T46" s="78"/>
    </row>
    <row r="47" spans="1:20" ht="52.5" customHeight="1">
      <c r="A47" s="12">
        <v>42</v>
      </c>
      <c r="B47" s="10" t="s">
        <v>186</v>
      </c>
      <c r="C47" s="14" t="s">
        <v>185</v>
      </c>
      <c r="D47" s="6">
        <v>3</v>
      </c>
      <c r="E47" s="8" t="s">
        <v>144</v>
      </c>
      <c r="F47" s="8">
        <v>1</v>
      </c>
      <c r="G47" s="66" t="s">
        <v>397</v>
      </c>
      <c r="H47" s="5"/>
      <c r="I47" s="28" t="s">
        <v>184</v>
      </c>
      <c r="J47" s="43"/>
      <c r="K47" s="43"/>
      <c r="L47" s="43">
        <v>0</v>
      </c>
      <c r="M47" s="78">
        <f t="shared" si="0"/>
        <v>0</v>
      </c>
      <c r="N47" s="78"/>
      <c r="O47" s="78"/>
      <c r="P47" s="78"/>
      <c r="Q47" s="78"/>
      <c r="R47" s="78"/>
      <c r="S47" s="78"/>
      <c r="T47" s="78">
        <f t="shared" si="3"/>
        <v>0</v>
      </c>
    </row>
    <row r="48" spans="1:20" s="156" customFormat="1" ht="52.5" customHeight="1">
      <c r="A48" s="150">
        <v>43</v>
      </c>
      <c r="B48" s="11" t="s">
        <v>183</v>
      </c>
      <c r="C48" s="11" t="s">
        <v>182</v>
      </c>
      <c r="D48" s="151">
        <v>1</v>
      </c>
      <c r="E48" s="33" t="s">
        <v>389</v>
      </c>
      <c r="F48" s="33">
        <v>2</v>
      </c>
      <c r="G48" s="66" t="s">
        <v>400</v>
      </c>
      <c r="H48" s="153" t="s">
        <v>327</v>
      </c>
      <c r="I48" s="50" t="s">
        <v>165</v>
      </c>
      <c r="J48" s="43"/>
      <c r="K48" s="43"/>
      <c r="L48" s="43"/>
      <c r="M48" s="78">
        <f t="shared" si="0"/>
        <v>0</v>
      </c>
      <c r="N48" s="78">
        <f t="shared" si="1"/>
        <v>0</v>
      </c>
      <c r="O48" s="78"/>
      <c r="P48" s="78"/>
      <c r="Q48" s="78"/>
      <c r="R48" s="78"/>
      <c r="S48" s="152"/>
      <c r="T48" s="78"/>
    </row>
    <row r="49" spans="1:20" ht="52.5" customHeight="1">
      <c r="A49" s="12">
        <v>44</v>
      </c>
      <c r="B49" s="10" t="s">
        <v>180</v>
      </c>
      <c r="C49" s="14" t="s">
        <v>181</v>
      </c>
      <c r="D49" s="6">
        <v>1</v>
      </c>
      <c r="E49" s="8" t="s">
        <v>389</v>
      </c>
      <c r="F49" s="8">
        <v>2</v>
      </c>
      <c r="G49" s="66" t="s">
        <v>400</v>
      </c>
      <c r="H49" s="5" t="s">
        <v>326</v>
      </c>
      <c r="I49" s="28" t="s">
        <v>165</v>
      </c>
      <c r="J49" s="43"/>
      <c r="K49" s="43"/>
      <c r="L49" s="43">
        <v>0</v>
      </c>
      <c r="M49" s="78">
        <f t="shared" si="0"/>
        <v>0</v>
      </c>
      <c r="N49" s="78">
        <f t="shared" si="1"/>
        <v>0</v>
      </c>
      <c r="O49" s="78"/>
      <c r="P49" s="78"/>
      <c r="Q49" s="78"/>
      <c r="R49" s="78"/>
      <c r="S49" s="78"/>
      <c r="T49" s="78"/>
    </row>
    <row r="50" spans="1:20" ht="52.5" customHeight="1">
      <c r="A50" s="12">
        <v>45</v>
      </c>
      <c r="B50" s="10" t="s">
        <v>179</v>
      </c>
      <c r="C50" s="14" t="s">
        <v>178</v>
      </c>
      <c r="D50" s="6">
        <v>1</v>
      </c>
      <c r="E50" s="8" t="s">
        <v>389</v>
      </c>
      <c r="F50" s="8">
        <v>2</v>
      </c>
      <c r="G50" s="66" t="s">
        <v>400</v>
      </c>
      <c r="H50" s="5"/>
      <c r="I50" s="28" t="s">
        <v>165</v>
      </c>
      <c r="J50" s="43"/>
      <c r="K50" s="224"/>
      <c r="L50" s="43">
        <v>0</v>
      </c>
      <c r="M50" s="78">
        <f t="shared" si="0"/>
        <v>0</v>
      </c>
      <c r="N50" s="78">
        <f t="shared" si="1"/>
        <v>0</v>
      </c>
      <c r="O50" s="78"/>
      <c r="P50" s="78"/>
      <c r="Q50" s="78"/>
      <c r="R50" s="78"/>
      <c r="S50" s="78"/>
      <c r="T50" s="78"/>
    </row>
    <row r="51" spans="1:20" ht="52.5" customHeight="1">
      <c r="A51" s="12">
        <v>46</v>
      </c>
      <c r="B51" s="10" t="s">
        <v>177</v>
      </c>
      <c r="C51" s="14" t="s">
        <v>176</v>
      </c>
      <c r="D51" s="6">
        <v>1</v>
      </c>
      <c r="E51" s="8" t="s">
        <v>389</v>
      </c>
      <c r="F51" s="8">
        <v>2</v>
      </c>
      <c r="G51" s="66" t="s">
        <v>400</v>
      </c>
      <c r="H51" s="5"/>
      <c r="I51" s="28" t="s">
        <v>165</v>
      </c>
      <c r="J51" s="42"/>
      <c r="K51" s="42"/>
      <c r="L51" s="42">
        <f>'Dados Detalhados'!$L$514</f>
        <v>0</v>
      </c>
      <c r="M51" s="78">
        <f t="shared" si="0"/>
        <v>0</v>
      </c>
      <c r="N51" s="78">
        <f t="shared" si="1"/>
        <v>0</v>
      </c>
      <c r="O51" s="78">
        <f t="shared" si="5"/>
        <v>0</v>
      </c>
      <c r="P51" s="78">
        <f t="shared" si="2"/>
        <v>0</v>
      </c>
      <c r="Q51" s="78">
        <f t="shared" si="6"/>
        <v>0</v>
      </c>
      <c r="R51" s="78">
        <f t="shared" si="4"/>
        <v>0</v>
      </c>
      <c r="S51" s="78"/>
      <c r="T51" s="78">
        <f t="shared" si="3"/>
        <v>0</v>
      </c>
    </row>
    <row r="52" spans="1:20" ht="52.5" customHeight="1">
      <c r="A52" s="12">
        <v>47</v>
      </c>
      <c r="B52" s="10" t="s">
        <v>175</v>
      </c>
      <c r="C52" s="14" t="s">
        <v>174</v>
      </c>
      <c r="D52" s="6">
        <v>2</v>
      </c>
      <c r="E52" s="8" t="s">
        <v>389</v>
      </c>
      <c r="F52" s="8">
        <v>2</v>
      </c>
      <c r="G52" s="66" t="s">
        <v>400</v>
      </c>
      <c r="H52" s="5" t="s">
        <v>325</v>
      </c>
      <c r="I52" s="28" t="s">
        <v>165</v>
      </c>
      <c r="J52" s="43"/>
      <c r="K52" s="43"/>
      <c r="L52" s="43">
        <v>0</v>
      </c>
      <c r="M52" s="78">
        <f t="shared" si="0"/>
        <v>0</v>
      </c>
      <c r="N52" s="78"/>
      <c r="O52" s="78"/>
      <c r="P52" s="78">
        <f t="shared" si="2"/>
        <v>0</v>
      </c>
      <c r="Q52" s="78"/>
      <c r="R52" s="78"/>
      <c r="S52" s="78"/>
      <c r="T52" s="78"/>
    </row>
    <row r="53" spans="1:20" ht="52.5" customHeight="1">
      <c r="A53" s="12">
        <v>48</v>
      </c>
      <c r="B53" s="10" t="s">
        <v>173</v>
      </c>
      <c r="C53" s="14" t="s">
        <v>172</v>
      </c>
      <c r="D53" s="6">
        <v>3</v>
      </c>
      <c r="E53" s="8" t="s">
        <v>389</v>
      </c>
      <c r="F53" s="8">
        <v>2</v>
      </c>
      <c r="G53" s="66" t="s">
        <v>400</v>
      </c>
      <c r="H53" s="5" t="s">
        <v>324</v>
      </c>
      <c r="I53" s="28" t="s">
        <v>165</v>
      </c>
      <c r="J53" s="224"/>
      <c r="K53" s="224"/>
      <c r="L53" s="224">
        <f>'Dados Detalhados'!$L$520</f>
        <v>1593.33</v>
      </c>
      <c r="M53" s="78">
        <f t="shared" si="0"/>
        <v>1593.33</v>
      </c>
      <c r="N53" s="78">
        <f t="shared" si="1"/>
        <v>1593.33</v>
      </c>
      <c r="O53" s="78"/>
      <c r="P53" s="78"/>
      <c r="Q53" s="78"/>
      <c r="R53" s="78"/>
      <c r="S53" s="78"/>
      <c r="T53" s="78"/>
    </row>
    <row r="54" spans="1:20" ht="52.5" customHeight="1">
      <c r="A54" s="12">
        <v>49</v>
      </c>
      <c r="B54" s="10" t="s">
        <v>171</v>
      </c>
      <c r="C54" s="14" t="s">
        <v>170</v>
      </c>
      <c r="D54" s="6">
        <v>1</v>
      </c>
      <c r="E54" s="8" t="s">
        <v>389</v>
      </c>
      <c r="F54" s="8">
        <v>2</v>
      </c>
      <c r="G54" s="66" t="s">
        <v>400</v>
      </c>
      <c r="H54" s="5" t="s">
        <v>323</v>
      </c>
      <c r="I54" s="28" t="s">
        <v>165</v>
      </c>
      <c r="J54" s="43"/>
      <c r="K54" s="224"/>
      <c r="L54" s="43">
        <v>0</v>
      </c>
      <c r="M54" s="78">
        <f t="shared" si="0"/>
        <v>0</v>
      </c>
      <c r="N54" s="78">
        <f t="shared" si="1"/>
        <v>0</v>
      </c>
      <c r="O54" s="78"/>
      <c r="P54" s="78"/>
      <c r="Q54" s="78"/>
      <c r="R54" s="78"/>
      <c r="S54" s="78"/>
      <c r="T54" s="78"/>
    </row>
    <row r="55" spans="1:20" ht="52.5" customHeight="1">
      <c r="A55" s="12">
        <v>50</v>
      </c>
      <c r="B55" s="10" t="s">
        <v>169</v>
      </c>
      <c r="C55" s="14" t="s">
        <v>168</v>
      </c>
      <c r="D55" s="6">
        <v>3</v>
      </c>
      <c r="E55" s="8" t="s">
        <v>389</v>
      </c>
      <c r="F55" s="8">
        <v>2</v>
      </c>
      <c r="G55" s="66" t="s">
        <v>400</v>
      </c>
      <c r="H55" s="5" t="s">
        <v>322</v>
      </c>
      <c r="I55" s="28" t="s">
        <v>165</v>
      </c>
      <c r="J55" s="224"/>
      <c r="K55" s="47"/>
      <c r="L55" s="47">
        <f>'Dados Detalhados'!$L$539</f>
        <v>3141.11</v>
      </c>
      <c r="M55" s="78">
        <f t="shared" si="0"/>
        <v>3141.11</v>
      </c>
      <c r="N55" s="78">
        <f t="shared" si="1"/>
        <v>3141.11</v>
      </c>
      <c r="O55" s="78"/>
      <c r="P55" s="78"/>
      <c r="Q55" s="78"/>
      <c r="R55" s="78"/>
      <c r="S55" s="78"/>
      <c r="T55" s="78"/>
    </row>
    <row r="56" spans="1:20" ht="52.5" customHeight="1">
      <c r="A56" s="12">
        <v>51</v>
      </c>
      <c r="B56" s="10" t="s">
        <v>167</v>
      </c>
      <c r="C56" s="14" t="s">
        <v>166</v>
      </c>
      <c r="D56" s="6">
        <v>3</v>
      </c>
      <c r="E56" s="8" t="s">
        <v>389</v>
      </c>
      <c r="F56" s="8">
        <v>2</v>
      </c>
      <c r="G56" s="66" t="s">
        <v>400</v>
      </c>
      <c r="H56" s="5" t="s">
        <v>321</v>
      </c>
      <c r="I56" s="28" t="s">
        <v>165</v>
      </c>
      <c r="J56" s="224"/>
      <c r="K56" s="224"/>
      <c r="L56" s="224">
        <f>'Dados Detalhados'!$L$551</f>
        <v>374.67</v>
      </c>
      <c r="M56" s="78">
        <f t="shared" si="0"/>
        <v>374.67</v>
      </c>
      <c r="N56" s="78">
        <f t="shared" si="1"/>
        <v>374.67</v>
      </c>
      <c r="O56" s="78"/>
      <c r="P56" s="78"/>
      <c r="Q56" s="78"/>
      <c r="R56" s="78"/>
      <c r="S56" s="78"/>
      <c r="T56" s="78"/>
    </row>
    <row r="57" spans="1:20" ht="52.5" customHeight="1">
      <c r="A57" s="12">
        <v>52</v>
      </c>
      <c r="B57" s="10" t="s">
        <v>164</v>
      </c>
      <c r="C57" s="14" t="s">
        <v>163</v>
      </c>
      <c r="D57" s="6">
        <v>1</v>
      </c>
      <c r="E57" s="8" t="s">
        <v>390</v>
      </c>
      <c r="F57" s="8">
        <v>3</v>
      </c>
      <c r="G57" s="66" t="s">
        <v>403</v>
      </c>
      <c r="H57" s="5" t="s">
        <v>320</v>
      </c>
      <c r="I57" s="28" t="s">
        <v>143</v>
      </c>
      <c r="J57" s="224"/>
      <c r="K57" s="224"/>
      <c r="L57" s="224">
        <f>'Dados Detalhados'!$L$556</f>
        <v>3722.2200000000003</v>
      </c>
      <c r="M57" s="78">
        <f t="shared" si="0"/>
        <v>3722.2200000000003</v>
      </c>
      <c r="N57" s="78">
        <f t="shared" si="1"/>
        <v>3722.2200000000003</v>
      </c>
      <c r="O57" s="78"/>
      <c r="P57" s="78"/>
      <c r="Q57" s="78"/>
      <c r="R57" s="78"/>
      <c r="S57" s="78"/>
      <c r="T57" s="78"/>
    </row>
    <row r="58" spans="1:20" ht="52.5" customHeight="1">
      <c r="A58" s="12">
        <v>53</v>
      </c>
      <c r="B58" s="10" t="s">
        <v>162</v>
      </c>
      <c r="C58" s="14" t="s">
        <v>161</v>
      </c>
      <c r="D58" s="6">
        <v>1</v>
      </c>
      <c r="E58" s="8" t="s">
        <v>390</v>
      </c>
      <c r="F58" s="8">
        <v>3</v>
      </c>
      <c r="G58" s="66" t="s">
        <v>403</v>
      </c>
      <c r="H58" s="5" t="s">
        <v>319</v>
      </c>
      <c r="I58" s="28" t="s">
        <v>143</v>
      </c>
      <c r="J58" s="224"/>
      <c r="K58" s="224"/>
      <c r="L58" s="224">
        <f>'Dados Detalhados'!$L$560</f>
        <v>3722.2200000000003</v>
      </c>
      <c r="M58" s="78">
        <f t="shared" si="0"/>
        <v>3722.2200000000003</v>
      </c>
      <c r="N58" s="78">
        <f t="shared" si="1"/>
        <v>3722.2200000000003</v>
      </c>
      <c r="O58" s="78"/>
      <c r="P58" s="78"/>
      <c r="Q58" s="78"/>
      <c r="R58" s="78"/>
      <c r="S58" s="78"/>
      <c r="T58" s="78"/>
    </row>
    <row r="59" spans="1:20" ht="52.5" customHeight="1">
      <c r="A59" s="12">
        <v>54</v>
      </c>
      <c r="B59" s="10" t="s">
        <v>160</v>
      </c>
      <c r="C59" s="14" t="s">
        <v>867</v>
      </c>
      <c r="D59" s="6">
        <v>2</v>
      </c>
      <c r="E59" s="8" t="s">
        <v>389</v>
      </c>
      <c r="F59" s="8">
        <v>2</v>
      </c>
      <c r="G59" s="21" t="s">
        <v>866</v>
      </c>
      <c r="H59" s="5" t="s">
        <v>318</v>
      </c>
      <c r="I59" s="28" t="s">
        <v>143</v>
      </c>
      <c r="J59" s="47"/>
      <c r="K59" s="224"/>
      <c r="L59" s="43">
        <v>0</v>
      </c>
      <c r="M59" s="78">
        <f t="shared" si="0"/>
        <v>0</v>
      </c>
      <c r="N59" s="78">
        <f t="shared" si="1"/>
        <v>0</v>
      </c>
      <c r="O59" s="78"/>
      <c r="P59" s="78"/>
      <c r="Q59" s="78"/>
      <c r="R59" s="78"/>
      <c r="S59" s="78"/>
      <c r="T59" s="78"/>
    </row>
    <row r="60" spans="1:20" ht="52.5" customHeight="1">
      <c r="A60" s="12" t="s">
        <v>870</v>
      </c>
      <c r="B60" s="10" t="s">
        <v>868</v>
      </c>
      <c r="C60" s="14" t="s">
        <v>871</v>
      </c>
      <c r="D60" s="6">
        <v>1</v>
      </c>
      <c r="E60" s="8" t="s">
        <v>389</v>
      </c>
      <c r="F60" s="8">
        <v>2</v>
      </c>
      <c r="G60" s="21" t="s">
        <v>866</v>
      </c>
      <c r="H60" s="5"/>
      <c r="I60" s="28"/>
      <c r="J60" s="224"/>
      <c r="K60" s="43"/>
      <c r="L60" s="43"/>
      <c r="M60" s="78">
        <f t="shared" si="0"/>
        <v>0</v>
      </c>
      <c r="N60" s="78">
        <f t="shared" si="1"/>
        <v>0</v>
      </c>
      <c r="O60" s="78"/>
      <c r="P60" s="78"/>
      <c r="Q60" s="78"/>
      <c r="R60" s="78"/>
      <c r="S60" s="78"/>
      <c r="T60" s="78"/>
    </row>
    <row r="61" spans="1:20" ht="52.5" customHeight="1">
      <c r="A61" s="12">
        <v>54.2</v>
      </c>
      <c r="B61" s="10" t="s">
        <v>869</v>
      </c>
      <c r="C61" s="14" t="s">
        <v>872</v>
      </c>
      <c r="D61" s="6">
        <v>1</v>
      </c>
      <c r="E61" s="8" t="s">
        <v>389</v>
      </c>
      <c r="F61" s="8">
        <v>2</v>
      </c>
      <c r="G61" s="21" t="s">
        <v>866</v>
      </c>
      <c r="H61" s="5"/>
      <c r="I61" s="28"/>
      <c r="J61" s="43"/>
      <c r="K61" s="224"/>
      <c r="L61" s="43"/>
      <c r="M61" s="78">
        <f t="shared" si="0"/>
        <v>0</v>
      </c>
      <c r="N61" s="78">
        <f t="shared" si="1"/>
        <v>0</v>
      </c>
      <c r="O61" s="78"/>
      <c r="P61" s="78"/>
      <c r="Q61" s="78"/>
      <c r="R61" s="78"/>
      <c r="S61" s="78"/>
      <c r="T61" s="78"/>
    </row>
    <row r="62" spans="1:20" ht="52.5" customHeight="1">
      <c r="A62" s="12">
        <v>55</v>
      </c>
      <c r="B62" s="10" t="s">
        <v>158</v>
      </c>
      <c r="C62" s="14" t="s">
        <v>157</v>
      </c>
      <c r="D62" s="6">
        <v>2</v>
      </c>
      <c r="E62" s="8" t="s">
        <v>144</v>
      </c>
      <c r="F62" s="8">
        <v>1</v>
      </c>
      <c r="G62" s="66" t="s">
        <v>397</v>
      </c>
      <c r="H62" s="5" t="s">
        <v>317</v>
      </c>
      <c r="I62" s="28" t="s">
        <v>143</v>
      </c>
      <c r="J62" s="48"/>
      <c r="K62" s="48"/>
      <c r="L62" s="48">
        <f>'Dados Detalhados'!$L$574</f>
        <v>92.829999999999984</v>
      </c>
      <c r="M62" s="78">
        <f t="shared" si="0"/>
        <v>92.829999999999984</v>
      </c>
      <c r="N62" s="78"/>
      <c r="O62" s="78"/>
      <c r="P62" s="78"/>
      <c r="Q62" s="78"/>
      <c r="R62" s="78">
        <f t="shared" si="4"/>
        <v>92.829999999999984</v>
      </c>
      <c r="S62" s="78"/>
      <c r="T62" s="78"/>
    </row>
    <row r="63" spans="1:20" ht="58.5" customHeight="1">
      <c r="A63" s="12">
        <v>56</v>
      </c>
      <c r="B63" s="10" t="s">
        <v>155</v>
      </c>
      <c r="C63" s="14" t="s">
        <v>156</v>
      </c>
      <c r="D63" s="6">
        <v>1</v>
      </c>
      <c r="E63" s="8" t="s">
        <v>390</v>
      </c>
      <c r="F63" s="8">
        <v>3</v>
      </c>
      <c r="G63" s="66" t="s">
        <v>404</v>
      </c>
      <c r="H63" s="5" t="s">
        <v>316</v>
      </c>
      <c r="I63" s="28" t="s">
        <v>143</v>
      </c>
      <c r="J63" s="43"/>
      <c r="K63" s="43"/>
      <c r="L63" s="43">
        <v>0</v>
      </c>
      <c r="M63" s="78">
        <f t="shared" si="0"/>
        <v>0</v>
      </c>
      <c r="N63" s="78">
        <f t="shared" si="1"/>
        <v>0</v>
      </c>
      <c r="O63" s="78"/>
      <c r="P63" s="78"/>
      <c r="Q63" s="78"/>
      <c r="R63" s="78"/>
      <c r="S63" s="78"/>
      <c r="T63" s="78"/>
    </row>
    <row r="64" spans="1:20" ht="52.5" customHeight="1">
      <c r="A64" s="12">
        <v>57</v>
      </c>
      <c r="B64" s="10" t="s">
        <v>154</v>
      </c>
      <c r="C64" s="14" t="s">
        <v>153</v>
      </c>
      <c r="D64" s="6">
        <v>2</v>
      </c>
      <c r="E64" s="8" t="s">
        <v>390</v>
      </c>
      <c r="F64" s="8">
        <v>3</v>
      </c>
      <c r="G64" s="66" t="s">
        <v>404</v>
      </c>
      <c r="H64" s="5"/>
      <c r="I64" s="28" t="s">
        <v>143</v>
      </c>
      <c r="J64" s="43"/>
      <c r="K64" s="43"/>
      <c r="L64" s="43">
        <v>0</v>
      </c>
      <c r="M64" s="78">
        <f t="shared" si="0"/>
        <v>0</v>
      </c>
      <c r="N64" s="78"/>
      <c r="O64" s="78"/>
      <c r="P64" s="78"/>
      <c r="Q64" s="78"/>
      <c r="R64" s="78"/>
      <c r="S64" s="78"/>
      <c r="T64" s="78">
        <f t="shared" si="3"/>
        <v>0</v>
      </c>
    </row>
    <row r="65" spans="1:20" ht="52.5" customHeight="1">
      <c r="A65" s="12">
        <v>58</v>
      </c>
      <c r="B65" s="10" t="s">
        <v>152</v>
      </c>
      <c r="C65" s="14" t="s">
        <v>151</v>
      </c>
      <c r="D65" s="6">
        <v>1</v>
      </c>
      <c r="E65" s="8" t="s">
        <v>390</v>
      </c>
      <c r="F65" s="8">
        <v>3</v>
      </c>
      <c r="G65" s="66" t="s">
        <v>403</v>
      </c>
      <c r="H65" s="5" t="s">
        <v>315</v>
      </c>
      <c r="I65" s="28" t="s">
        <v>143</v>
      </c>
      <c r="J65" s="224"/>
      <c r="K65" s="224"/>
      <c r="L65" s="224">
        <f>'Dados Detalhados'!$L$609</f>
        <v>18499.990000000002</v>
      </c>
      <c r="M65" s="78">
        <f t="shared" si="0"/>
        <v>18499.990000000002</v>
      </c>
      <c r="N65" s="78">
        <f t="shared" si="1"/>
        <v>18499.990000000002</v>
      </c>
      <c r="O65" s="78"/>
      <c r="P65" s="78"/>
      <c r="Q65" s="78"/>
      <c r="R65" s="78"/>
      <c r="S65" s="78"/>
      <c r="T65" s="78"/>
    </row>
    <row r="66" spans="1:20" ht="52.5" customHeight="1">
      <c r="A66" s="12">
        <v>59</v>
      </c>
      <c r="B66" s="10" t="s">
        <v>150</v>
      </c>
      <c r="C66" s="14" t="s">
        <v>149</v>
      </c>
      <c r="D66" s="6">
        <v>2</v>
      </c>
      <c r="E66" s="8" t="s">
        <v>390</v>
      </c>
      <c r="F66" s="8">
        <v>3</v>
      </c>
      <c r="G66" s="66" t="s">
        <v>403</v>
      </c>
      <c r="H66" s="5" t="s">
        <v>314</v>
      </c>
      <c r="I66" s="28" t="s">
        <v>143</v>
      </c>
      <c r="J66" s="224"/>
      <c r="K66" s="224"/>
      <c r="L66" s="224">
        <f>'Dados Detalhados'!$L$623</f>
        <v>11333.33</v>
      </c>
      <c r="M66" s="78">
        <f t="shared" si="0"/>
        <v>11333.33</v>
      </c>
      <c r="N66" s="78">
        <f t="shared" si="1"/>
        <v>11333.33</v>
      </c>
      <c r="O66" s="78"/>
      <c r="P66" s="78"/>
      <c r="Q66" s="78"/>
      <c r="R66" s="78"/>
      <c r="S66" s="78"/>
      <c r="T66" s="78"/>
    </row>
    <row r="67" spans="1:20" ht="52.5" customHeight="1">
      <c r="A67" s="12">
        <v>60</v>
      </c>
      <c r="B67" s="10" t="s">
        <v>148</v>
      </c>
      <c r="C67" s="14" t="s">
        <v>147</v>
      </c>
      <c r="D67" s="6">
        <v>2</v>
      </c>
      <c r="E67" s="8" t="s">
        <v>390</v>
      </c>
      <c r="F67" s="8">
        <v>3</v>
      </c>
      <c r="G67" s="66" t="s">
        <v>403</v>
      </c>
      <c r="H67" s="5"/>
      <c r="I67" s="28" t="s">
        <v>143</v>
      </c>
      <c r="J67" s="43"/>
      <c r="K67" s="43"/>
      <c r="L67" s="43">
        <v>0</v>
      </c>
      <c r="M67" s="78">
        <f t="shared" si="0"/>
        <v>0</v>
      </c>
      <c r="N67" s="78">
        <f t="shared" si="1"/>
        <v>0</v>
      </c>
      <c r="O67" s="78"/>
      <c r="P67" s="78"/>
      <c r="Q67" s="78"/>
      <c r="R67" s="78"/>
      <c r="S67" s="78"/>
      <c r="T67" s="78"/>
    </row>
    <row r="68" spans="1:20" ht="52.5" customHeight="1">
      <c r="A68" s="12">
        <v>61</v>
      </c>
      <c r="B68" s="10" t="s">
        <v>146</v>
      </c>
      <c r="C68" s="14" t="s">
        <v>145</v>
      </c>
      <c r="D68" s="6">
        <v>2</v>
      </c>
      <c r="E68" s="8" t="s">
        <v>390</v>
      </c>
      <c r="F68" s="8">
        <v>3</v>
      </c>
      <c r="G68" s="66" t="s">
        <v>403</v>
      </c>
      <c r="H68" s="5"/>
      <c r="I68" s="28" t="s">
        <v>143</v>
      </c>
      <c r="J68" s="43"/>
      <c r="K68" s="43"/>
      <c r="L68" s="43">
        <v>0</v>
      </c>
      <c r="M68" s="78">
        <f t="shared" si="0"/>
        <v>0</v>
      </c>
      <c r="N68" s="78"/>
      <c r="O68" s="78"/>
      <c r="P68" s="78"/>
      <c r="Q68" s="78"/>
      <c r="R68" s="78"/>
      <c r="S68" s="78"/>
      <c r="T68" s="78">
        <f t="shared" si="3"/>
        <v>0</v>
      </c>
    </row>
    <row r="69" spans="1:20" ht="52.5" customHeight="1">
      <c r="A69" s="12">
        <v>62</v>
      </c>
      <c r="B69" s="10" t="s">
        <v>142</v>
      </c>
      <c r="C69" s="11" t="s">
        <v>141</v>
      </c>
      <c r="D69" s="16">
        <v>3</v>
      </c>
      <c r="E69" s="19" t="s">
        <v>390</v>
      </c>
      <c r="F69" s="19">
        <v>3</v>
      </c>
      <c r="G69" s="66" t="s">
        <v>401</v>
      </c>
      <c r="H69" s="5" t="s">
        <v>313</v>
      </c>
      <c r="I69" s="31" t="s">
        <v>107</v>
      </c>
      <c r="J69" s="45"/>
      <c r="K69" s="43"/>
      <c r="L69" s="43">
        <v>0</v>
      </c>
      <c r="M69" s="78">
        <f t="shared" si="0"/>
        <v>0</v>
      </c>
      <c r="N69" s="78">
        <f t="shared" si="1"/>
        <v>0</v>
      </c>
      <c r="O69" s="78"/>
      <c r="P69" s="78"/>
      <c r="Q69" s="78"/>
      <c r="R69" s="78"/>
      <c r="S69" s="78"/>
      <c r="T69" s="78"/>
    </row>
    <row r="70" spans="1:20" ht="52.5" customHeight="1">
      <c r="A70" s="12">
        <v>63</v>
      </c>
      <c r="B70" s="10" t="s">
        <v>140</v>
      </c>
      <c r="C70" s="14" t="s">
        <v>139</v>
      </c>
      <c r="D70" s="16">
        <v>1</v>
      </c>
      <c r="E70" s="8" t="s">
        <v>390</v>
      </c>
      <c r="F70" s="19">
        <v>3</v>
      </c>
      <c r="G70" s="66" t="s">
        <v>401</v>
      </c>
      <c r="H70" s="5" t="s">
        <v>312</v>
      </c>
      <c r="I70" s="28" t="s">
        <v>107</v>
      </c>
      <c r="J70" s="224"/>
      <c r="K70" s="43"/>
      <c r="L70" s="224">
        <f>'Dados Detalhados'!$L$665</f>
        <v>13953</v>
      </c>
      <c r="M70" s="78">
        <f t="shared" ref="M70:M133" si="7">+J70+K70+L70</f>
        <v>13953</v>
      </c>
      <c r="N70" s="78">
        <f t="shared" si="1"/>
        <v>13953</v>
      </c>
      <c r="O70" s="78"/>
      <c r="P70" s="78"/>
      <c r="Q70" s="78"/>
      <c r="R70" s="78"/>
      <c r="S70" s="78"/>
      <c r="T70" s="78"/>
    </row>
    <row r="71" spans="1:20" ht="52.5" customHeight="1">
      <c r="A71" s="12">
        <v>64</v>
      </c>
      <c r="B71" s="10" t="s">
        <v>138</v>
      </c>
      <c r="C71" s="14" t="s">
        <v>335</v>
      </c>
      <c r="D71" s="16">
        <v>1</v>
      </c>
      <c r="E71" s="8" t="s">
        <v>390</v>
      </c>
      <c r="F71" s="19">
        <v>3</v>
      </c>
      <c r="G71" s="66" t="s">
        <v>401</v>
      </c>
      <c r="H71" s="5" t="s">
        <v>311</v>
      </c>
      <c r="I71" s="28" t="s">
        <v>107</v>
      </c>
      <c r="J71" s="224"/>
      <c r="K71" s="224"/>
      <c r="L71" s="224">
        <f>'Dados Detalhados'!$L$666</f>
        <v>18372</v>
      </c>
      <c r="M71" s="78">
        <f t="shared" si="7"/>
        <v>18372</v>
      </c>
      <c r="N71" s="78">
        <f t="shared" si="1"/>
        <v>18372</v>
      </c>
      <c r="O71" s="78"/>
      <c r="P71" s="78"/>
      <c r="Q71" s="78"/>
      <c r="R71" s="78"/>
      <c r="S71" s="78"/>
      <c r="T71" s="78"/>
    </row>
    <row r="72" spans="1:20" ht="52.5" customHeight="1">
      <c r="A72" s="12">
        <v>65</v>
      </c>
      <c r="B72" s="20" t="s">
        <v>137</v>
      </c>
      <c r="C72" s="20" t="s">
        <v>136</v>
      </c>
      <c r="D72" s="16">
        <v>1</v>
      </c>
      <c r="E72" s="19" t="s">
        <v>390</v>
      </c>
      <c r="F72" s="19">
        <v>3</v>
      </c>
      <c r="G72" s="66" t="s">
        <v>401</v>
      </c>
      <c r="H72" s="7" t="s">
        <v>310</v>
      </c>
      <c r="I72" s="31" t="s">
        <v>107</v>
      </c>
      <c r="J72" s="229"/>
      <c r="K72" s="229"/>
      <c r="L72" s="229">
        <f>'Dados Detalhados'!$L$668</f>
        <v>5701.36</v>
      </c>
      <c r="M72" s="78">
        <f t="shared" si="7"/>
        <v>5701.36</v>
      </c>
      <c r="N72" s="78">
        <f t="shared" ref="N72:N134" si="8">+M72</f>
        <v>5701.36</v>
      </c>
      <c r="O72" s="78"/>
      <c r="P72" s="78"/>
      <c r="Q72" s="78"/>
      <c r="R72" s="78"/>
      <c r="S72" s="78"/>
      <c r="T72" s="78"/>
    </row>
    <row r="73" spans="1:20" ht="52.5" customHeight="1">
      <c r="A73" s="12">
        <v>66</v>
      </c>
      <c r="B73" s="1" t="s">
        <v>135</v>
      </c>
      <c r="C73" s="20" t="s">
        <v>134</v>
      </c>
      <c r="D73" s="16">
        <v>1</v>
      </c>
      <c r="E73" s="19" t="s">
        <v>390</v>
      </c>
      <c r="F73" s="19">
        <v>3</v>
      </c>
      <c r="G73" s="66" t="s">
        <v>401</v>
      </c>
      <c r="H73" s="7"/>
      <c r="I73" s="31" t="s">
        <v>107</v>
      </c>
      <c r="J73" s="229"/>
      <c r="K73" s="229"/>
      <c r="L73" s="229">
        <f>'Dados Detalhados'!$L$671</f>
        <v>7701.97</v>
      </c>
      <c r="M73" s="78">
        <f t="shared" si="7"/>
        <v>7701.97</v>
      </c>
      <c r="N73" s="78">
        <f t="shared" si="8"/>
        <v>7701.97</v>
      </c>
      <c r="O73" s="78"/>
      <c r="P73" s="78"/>
      <c r="Q73" s="78"/>
      <c r="R73" s="78"/>
      <c r="S73" s="78"/>
      <c r="T73" s="78"/>
    </row>
    <row r="74" spans="1:20" ht="52.5" customHeight="1">
      <c r="A74" s="12">
        <v>67</v>
      </c>
      <c r="B74" s="10" t="s">
        <v>132</v>
      </c>
      <c r="C74" s="14" t="s">
        <v>131</v>
      </c>
      <c r="D74" s="16">
        <v>1</v>
      </c>
      <c r="E74" s="8" t="s">
        <v>390</v>
      </c>
      <c r="F74" s="19">
        <v>3</v>
      </c>
      <c r="G74" s="66" t="s">
        <v>401</v>
      </c>
      <c r="H74" s="9" t="s">
        <v>309</v>
      </c>
      <c r="I74" s="28" t="s">
        <v>107</v>
      </c>
      <c r="J74" s="224"/>
      <c r="K74" s="224"/>
      <c r="L74" s="224">
        <f>'Dados Detalhados'!$L$673</f>
        <v>7592.33</v>
      </c>
      <c r="M74" s="78">
        <f t="shared" si="7"/>
        <v>7592.33</v>
      </c>
      <c r="N74" s="78">
        <f t="shared" si="8"/>
        <v>7592.33</v>
      </c>
      <c r="O74" s="78"/>
      <c r="P74" s="78"/>
      <c r="Q74" s="78"/>
      <c r="R74" s="78"/>
      <c r="S74" s="78"/>
      <c r="T74" s="78"/>
    </row>
    <row r="75" spans="1:20" ht="52.5" customHeight="1">
      <c r="A75" s="12">
        <v>68</v>
      </c>
      <c r="B75" s="10" t="s">
        <v>130</v>
      </c>
      <c r="C75" s="14" t="s">
        <v>129</v>
      </c>
      <c r="D75" s="16">
        <v>2</v>
      </c>
      <c r="E75" s="8" t="s">
        <v>390</v>
      </c>
      <c r="F75" s="19">
        <v>3</v>
      </c>
      <c r="G75" s="66" t="s">
        <v>401</v>
      </c>
      <c r="H75" s="29" t="s">
        <v>308</v>
      </c>
      <c r="I75" s="28" t="s">
        <v>107</v>
      </c>
      <c r="J75" s="43"/>
      <c r="K75" s="43"/>
      <c r="L75" s="43">
        <v>0</v>
      </c>
      <c r="M75" s="78">
        <f t="shared" si="7"/>
        <v>0</v>
      </c>
      <c r="N75" s="78"/>
      <c r="O75" s="78"/>
      <c r="P75" s="78"/>
      <c r="Q75" s="78"/>
      <c r="R75" s="78"/>
      <c r="S75" s="78"/>
      <c r="T75" s="78">
        <f t="shared" si="3"/>
        <v>0</v>
      </c>
    </row>
    <row r="76" spans="1:20" ht="52.5" customHeight="1">
      <c r="A76" s="12">
        <v>69</v>
      </c>
      <c r="B76" s="10" t="s">
        <v>127</v>
      </c>
      <c r="C76" s="14" t="s">
        <v>126</v>
      </c>
      <c r="D76" s="16">
        <v>2</v>
      </c>
      <c r="E76" s="8" t="s">
        <v>390</v>
      </c>
      <c r="F76" s="19">
        <v>3</v>
      </c>
      <c r="G76" s="66" t="s">
        <v>401</v>
      </c>
      <c r="H76" s="29" t="s">
        <v>308</v>
      </c>
      <c r="I76" s="28" t="s">
        <v>107</v>
      </c>
      <c r="J76" s="43"/>
      <c r="K76" s="43"/>
      <c r="L76" s="43">
        <v>0</v>
      </c>
      <c r="M76" s="78">
        <f t="shared" si="7"/>
        <v>0</v>
      </c>
      <c r="N76" s="78"/>
      <c r="O76" s="78"/>
      <c r="P76" s="78"/>
      <c r="Q76" s="78"/>
      <c r="R76" s="78"/>
      <c r="S76" s="78"/>
      <c r="T76" s="78">
        <f t="shared" ref="T76:T139" si="9">+M76</f>
        <v>0</v>
      </c>
    </row>
    <row r="77" spans="1:20" ht="61.5" customHeight="1">
      <c r="A77" s="12">
        <v>70</v>
      </c>
      <c r="B77" s="10" t="s">
        <v>124</v>
      </c>
      <c r="C77" s="14" t="s">
        <v>125</v>
      </c>
      <c r="D77" s="16">
        <v>1</v>
      </c>
      <c r="E77" s="8" t="s">
        <v>390</v>
      </c>
      <c r="F77" s="19">
        <v>3</v>
      </c>
      <c r="G77" s="66" t="s">
        <v>401</v>
      </c>
      <c r="H77" s="5" t="s">
        <v>307</v>
      </c>
      <c r="I77" s="28" t="s">
        <v>107</v>
      </c>
      <c r="J77" s="43"/>
      <c r="K77" s="43"/>
      <c r="L77" s="43">
        <v>0</v>
      </c>
      <c r="M77" s="78">
        <f t="shared" si="7"/>
        <v>0</v>
      </c>
      <c r="N77" s="78">
        <f t="shared" si="8"/>
        <v>0</v>
      </c>
      <c r="O77" s="78"/>
      <c r="P77" s="78"/>
      <c r="Q77" s="78"/>
      <c r="R77" s="78"/>
      <c r="S77" s="78"/>
      <c r="T77" s="78"/>
    </row>
    <row r="78" spans="1:20" ht="52.5" customHeight="1">
      <c r="A78" s="12">
        <v>71</v>
      </c>
      <c r="B78" s="10" t="s">
        <v>123</v>
      </c>
      <c r="C78" s="14" t="s">
        <v>122</v>
      </c>
      <c r="D78" s="16">
        <v>2</v>
      </c>
      <c r="E78" s="8" t="s">
        <v>390</v>
      </c>
      <c r="F78" s="19">
        <v>3</v>
      </c>
      <c r="G78" s="66" t="s">
        <v>401</v>
      </c>
      <c r="H78" s="5" t="s">
        <v>307</v>
      </c>
      <c r="I78" s="28" t="s">
        <v>107</v>
      </c>
      <c r="J78" s="48"/>
      <c r="K78" s="48"/>
      <c r="L78" s="48">
        <f>'Dados Detalhados'!$L$724</f>
        <v>2708.33</v>
      </c>
      <c r="M78" s="78">
        <f t="shared" si="7"/>
        <v>2708.33</v>
      </c>
      <c r="N78" s="78"/>
      <c r="O78" s="78"/>
      <c r="P78" s="78"/>
      <c r="Q78" s="78"/>
      <c r="R78" s="78">
        <f>SUM(J78:L78)</f>
        <v>2708.33</v>
      </c>
      <c r="S78" s="78"/>
      <c r="T78" s="78"/>
    </row>
    <row r="79" spans="1:20" ht="52.5" customHeight="1">
      <c r="A79" s="12">
        <v>72</v>
      </c>
      <c r="B79" s="10" t="s">
        <v>121</v>
      </c>
      <c r="C79" s="14" t="s">
        <v>392</v>
      </c>
      <c r="D79" s="16">
        <v>1</v>
      </c>
      <c r="E79" s="8" t="s">
        <v>390</v>
      </c>
      <c r="F79" s="19">
        <v>3</v>
      </c>
      <c r="G79" s="66" t="s">
        <v>401</v>
      </c>
      <c r="H79" s="5" t="s">
        <v>306</v>
      </c>
      <c r="I79" s="28" t="s">
        <v>107</v>
      </c>
      <c r="J79" s="42"/>
      <c r="K79" s="42"/>
      <c r="L79" s="42">
        <f>'Dados Detalhados'!$L$727</f>
        <v>7140</v>
      </c>
      <c r="M79" s="78">
        <f t="shared" si="7"/>
        <v>7140</v>
      </c>
      <c r="N79" s="78"/>
      <c r="O79" s="78"/>
      <c r="P79" s="78"/>
      <c r="Q79" s="78"/>
      <c r="R79" s="78"/>
      <c r="S79" s="78"/>
      <c r="T79" s="78">
        <f t="shared" si="9"/>
        <v>7140</v>
      </c>
    </row>
    <row r="80" spans="1:20" ht="52.5" customHeight="1">
      <c r="A80" s="12">
        <v>73</v>
      </c>
      <c r="B80" s="10" t="s">
        <v>120</v>
      </c>
      <c r="C80" s="14" t="s">
        <v>119</v>
      </c>
      <c r="D80" s="16">
        <v>2</v>
      </c>
      <c r="E80" s="8" t="s">
        <v>390</v>
      </c>
      <c r="F80" s="19">
        <v>3</v>
      </c>
      <c r="G80" s="66" t="s">
        <v>401</v>
      </c>
      <c r="H80" s="5" t="s">
        <v>305</v>
      </c>
      <c r="I80" s="28" t="s">
        <v>107</v>
      </c>
      <c r="J80" s="43"/>
      <c r="K80" s="43"/>
      <c r="L80" s="43">
        <v>0</v>
      </c>
      <c r="M80" s="78">
        <f t="shared" si="7"/>
        <v>0</v>
      </c>
      <c r="N80" s="78"/>
      <c r="O80" s="78"/>
      <c r="P80" s="78"/>
      <c r="Q80" s="78"/>
      <c r="R80" s="78"/>
      <c r="S80" s="78"/>
      <c r="T80" s="78">
        <f t="shared" si="9"/>
        <v>0</v>
      </c>
    </row>
    <row r="81" spans="1:20" ht="52.5" customHeight="1">
      <c r="A81" s="12">
        <v>74</v>
      </c>
      <c r="B81" s="10" t="s">
        <v>118</v>
      </c>
      <c r="C81" s="14" t="s">
        <v>117</v>
      </c>
      <c r="D81" s="16">
        <v>2</v>
      </c>
      <c r="E81" s="8" t="s">
        <v>390</v>
      </c>
      <c r="F81" s="19">
        <v>3</v>
      </c>
      <c r="G81" s="66" t="s">
        <v>401</v>
      </c>
      <c r="H81" s="5" t="s">
        <v>305</v>
      </c>
      <c r="I81" s="28" t="s">
        <v>107</v>
      </c>
      <c r="J81" s="229"/>
      <c r="K81" s="43"/>
      <c r="L81" s="43">
        <v>0</v>
      </c>
      <c r="M81" s="78">
        <f t="shared" si="7"/>
        <v>0</v>
      </c>
      <c r="N81" s="78">
        <f t="shared" si="8"/>
        <v>0</v>
      </c>
      <c r="O81" s="78"/>
      <c r="P81" s="78"/>
      <c r="Q81" s="78"/>
      <c r="R81" s="78"/>
      <c r="S81" s="78"/>
      <c r="T81" s="78"/>
    </row>
    <row r="82" spans="1:20" ht="52.5" customHeight="1">
      <c r="A82" s="12">
        <v>75</v>
      </c>
      <c r="B82" s="10" t="s">
        <v>115</v>
      </c>
      <c r="C82" s="14" t="s">
        <v>114</v>
      </c>
      <c r="D82" s="16">
        <v>2</v>
      </c>
      <c r="E82" s="8" t="s">
        <v>390</v>
      </c>
      <c r="F82" s="19">
        <v>3</v>
      </c>
      <c r="G82" s="66" t="s">
        <v>401</v>
      </c>
      <c r="H82" s="5"/>
      <c r="I82" s="28" t="s">
        <v>107</v>
      </c>
      <c r="J82" s="231"/>
      <c r="K82" s="230"/>
      <c r="L82" s="43">
        <v>0</v>
      </c>
      <c r="M82" s="78">
        <f t="shared" si="7"/>
        <v>0</v>
      </c>
      <c r="N82" s="78">
        <f t="shared" si="8"/>
        <v>0</v>
      </c>
      <c r="O82" s="78"/>
      <c r="P82" s="78"/>
      <c r="Q82" s="78"/>
      <c r="R82" s="78"/>
      <c r="S82" s="78"/>
      <c r="T82" s="78"/>
    </row>
    <row r="83" spans="1:20" ht="52.5" customHeight="1">
      <c r="A83" s="12">
        <v>76</v>
      </c>
      <c r="B83" s="10" t="s">
        <v>113</v>
      </c>
      <c r="C83" s="14" t="s">
        <v>112</v>
      </c>
      <c r="D83" s="16">
        <v>1</v>
      </c>
      <c r="E83" s="8" t="s">
        <v>390</v>
      </c>
      <c r="F83" s="19">
        <v>3</v>
      </c>
      <c r="G83" s="66" t="s">
        <v>401</v>
      </c>
      <c r="H83" s="5" t="s">
        <v>305</v>
      </c>
      <c r="I83" s="28" t="s">
        <v>107</v>
      </c>
      <c r="J83" s="224"/>
      <c r="K83" s="224"/>
      <c r="L83" s="224">
        <f>'Dados Detalhados'!$L$777</f>
        <v>3788.65</v>
      </c>
      <c r="M83" s="78">
        <f t="shared" si="7"/>
        <v>3788.65</v>
      </c>
      <c r="N83" s="78">
        <f t="shared" si="8"/>
        <v>3788.65</v>
      </c>
      <c r="O83" s="78"/>
      <c r="P83" s="78"/>
      <c r="Q83" s="78"/>
      <c r="R83" s="78"/>
      <c r="S83" s="78"/>
      <c r="T83" s="78"/>
    </row>
    <row r="84" spans="1:20" ht="52.5" customHeight="1">
      <c r="A84" s="12">
        <v>77</v>
      </c>
      <c r="B84" s="10" t="s">
        <v>111</v>
      </c>
      <c r="C84" s="14" t="s">
        <v>110</v>
      </c>
      <c r="D84" s="16">
        <v>1</v>
      </c>
      <c r="E84" s="8" t="s">
        <v>390</v>
      </c>
      <c r="F84" s="19">
        <v>3</v>
      </c>
      <c r="G84" s="66" t="s">
        <v>401</v>
      </c>
      <c r="H84" s="5"/>
      <c r="I84" s="28" t="s">
        <v>107</v>
      </c>
      <c r="J84" s="224"/>
      <c r="K84" s="224"/>
      <c r="L84" s="224">
        <f>'Dados Detalhados'!$L$791</f>
        <v>3070.2</v>
      </c>
      <c r="M84" s="78">
        <f t="shared" si="7"/>
        <v>3070.2</v>
      </c>
      <c r="N84" s="78">
        <f t="shared" si="8"/>
        <v>3070.2</v>
      </c>
      <c r="O84" s="78"/>
      <c r="P84" s="78"/>
      <c r="Q84" s="78"/>
      <c r="R84" s="78"/>
      <c r="S84" s="78"/>
      <c r="T84" s="78"/>
    </row>
    <row r="85" spans="1:20" ht="52.5" customHeight="1">
      <c r="A85" s="12">
        <v>78</v>
      </c>
      <c r="B85" s="10" t="s">
        <v>109</v>
      </c>
      <c r="C85" s="14" t="s">
        <v>108</v>
      </c>
      <c r="D85" s="16">
        <v>1</v>
      </c>
      <c r="E85" s="8" t="s">
        <v>390</v>
      </c>
      <c r="F85" s="19">
        <v>3</v>
      </c>
      <c r="G85" s="66" t="s">
        <v>401</v>
      </c>
      <c r="H85" s="5"/>
      <c r="I85" s="28" t="s">
        <v>107</v>
      </c>
      <c r="J85" s="224"/>
      <c r="K85" s="43"/>
      <c r="L85" s="43">
        <v>0</v>
      </c>
      <c r="M85" s="78">
        <f t="shared" si="7"/>
        <v>0</v>
      </c>
      <c r="N85" s="78">
        <f t="shared" si="8"/>
        <v>0</v>
      </c>
      <c r="O85" s="78"/>
      <c r="P85" s="78"/>
      <c r="Q85" s="78"/>
      <c r="R85" s="78"/>
      <c r="S85" s="78"/>
      <c r="T85" s="78"/>
    </row>
    <row r="86" spans="1:20" ht="52.5" customHeight="1">
      <c r="A86" s="12">
        <v>79</v>
      </c>
      <c r="B86" s="10" t="s">
        <v>106</v>
      </c>
      <c r="C86" s="14" t="s">
        <v>105</v>
      </c>
      <c r="D86" s="16">
        <v>1</v>
      </c>
      <c r="E86" s="8" t="s">
        <v>390</v>
      </c>
      <c r="F86" s="19">
        <v>3</v>
      </c>
      <c r="G86" s="66" t="s">
        <v>402</v>
      </c>
      <c r="H86" s="5" t="s">
        <v>304</v>
      </c>
      <c r="I86" s="28" t="s">
        <v>77</v>
      </c>
      <c r="J86" s="43"/>
      <c r="K86" s="43"/>
      <c r="L86" s="43">
        <v>0</v>
      </c>
      <c r="M86" s="78">
        <f t="shared" si="7"/>
        <v>0</v>
      </c>
      <c r="N86" s="78">
        <f t="shared" si="8"/>
        <v>0</v>
      </c>
      <c r="O86" s="78"/>
      <c r="P86" s="78"/>
      <c r="Q86" s="78"/>
      <c r="R86" s="78"/>
      <c r="S86" s="78"/>
      <c r="T86" s="78"/>
    </row>
    <row r="87" spans="1:20" ht="52.5" customHeight="1">
      <c r="A87" s="12">
        <v>80</v>
      </c>
      <c r="B87" s="10" t="s">
        <v>101</v>
      </c>
      <c r="C87" s="14" t="s">
        <v>104</v>
      </c>
      <c r="D87" s="16">
        <v>1</v>
      </c>
      <c r="E87" s="8" t="s">
        <v>390</v>
      </c>
      <c r="F87" s="19">
        <v>3</v>
      </c>
      <c r="G87" s="66" t="s">
        <v>402</v>
      </c>
      <c r="H87" s="5" t="s">
        <v>286</v>
      </c>
      <c r="I87" s="28" t="s">
        <v>77</v>
      </c>
      <c r="J87" s="233"/>
      <c r="K87" s="233"/>
      <c r="L87" s="233">
        <f>'Dados Detalhados'!$L$839</f>
        <v>9430</v>
      </c>
      <c r="M87" s="78">
        <f t="shared" si="7"/>
        <v>9430</v>
      </c>
      <c r="N87" s="78"/>
      <c r="O87" s="78"/>
      <c r="P87" s="78"/>
      <c r="Q87" s="78">
        <f t="shared" ref="Q87:Q132" si="10">+M87</f>
        <v>9430</v>
      </c>
      <c r="R87" s="78"/>
      <c r="S87" s="78"/>
      <c r="T87" s="78"/>
    </row>
    <row r="88" spans="1:20" ht="52.5" customHeight="1">
      <c r="A88" s="12">
        <v>81</v>
      </c>
      <c r="B88" s="10" t="s">
        <v>103</v>
      </c>
      <c r="C88" s="14" t="s">
        <v>102</v>
      </c>
      <c r="D88" s="16">
        <v>1</v>
      </c>
      <c r="E88" s="8" t="s">
        <v>390</v>
      </c>
      <c r="F88" s="19">
        <v>3</v>
      </c>
      <c r="G88" s="66" t="s">
        <v>402</v>
      </c>
      <c r="H88" s="5"/>
      <c r="I88" s="28" t="s">
        <v>77</v>
      </c>
      <c r="J88" s="233"/>
      <c r="K88" s="233"/>
      <c r="L88" s="233">
        <f>'Dados Detalhados'!$L$845</f>
        <v>2304</v>
      </c>
      <c r="M88" s="78">
        <f t="shared" si="7"/>
        <v>2304</v>
      </c>
      <c r="N88" s="78"/>
      <c r="O88" s="78"/>
      <c r="P88" s="78"/>
      <c r="Q88" s="78">
        <f t="shared" si="10"/>
        <v>2304</v>
      </c>
      <c r="R88" s="78"/>
      <c r="S88" s="78"/>
      <c r="T88" s="78"/>
    </row>
    <row r="89" spans="1:20" ht="52.5" customHeight="1">
      <c r="A89" s="12">
        <v>82</v>
      </c>
      <c r="B89" s="10" t="s">
        <v>100</v>
      </c>
      <c r="C89" s="14" t="s">
        <v>99</v>
      </c>
      <c r="D89" s="16">
        <v>1</v>
      </c>
      <c r="E89" s="8" t="s">
        <v>390</v>
      </c>
      <c r="F89" s="19">
        <v>3</v>
      </c>
      <c r="G89" s="66" t="s">
        <v>402</v>
      </c>
      <c r="H89" s="5"/>
      <c r="I89" s="28" t="s">
        <v>77</v>
      </c>
      <c r="J89" s="233"/>
      <c r="K89" s="233"/>
      <c r="L89" s="233">
        <f>'Dados Detalhados'!$L$851</f>
        <v>220</v>
      </c>
      <c r="M89" s="78">
        <f t="shared" si="7"/>
        <v>220</v>
      </c>
      <c r="N89" s="78"/>
      <c r="O89" s="78"/>
      <c r="P89" s="78"/>
      <c r="Q89" s="78">
        <f t="shared" si="10"/>
        <v>220</v>
      </c>
      <c r="R89" s="78"/>
      <c r="S89" s="78"/>
      <c r="T89" s="78"/>
    </row>
    <row r="90" spans="1:20" ht="52.5" customHeight="1">
      <c r="A90" s="12">
        <v>83</v>
      </c>
      <c r="B90" s="18" t="s">
        <v>98</v>
      </c>
      <c r="C90" s="18" t="s">
        <v>97</v>
      </c>
      <c r="D90" s="16">
        <v>1</v>
      </c>
      <c r="E90" s="8" t="s">
        <v>390</v>
      </c>
      <c r="F90" s="19">
        <v>3</v>
      </c>
      <c r="G90" s="66" t="s">
        <v>402</v>
      </c>
      <c r="H90" s="17" t="s">
        <v>303</v>
      </c>
      <c r="I90" s="28" t="s">
        <v>77</v>
      </c>
      <c r="J90" s="224"/>
      <c r="K90" s="224"/>
      <c r="L90" s="224">
        <f>'Dados Detalhados'!$L$857</f>
        <v>3058.62</v>
      </c>
      <c r="M90" s="78">
        <f t="shared" si="7"/>
        <v>3058.62</v>
      </c>
      <c r="N90" s="78">
        <f t="shared" si="8"/>
        <v>3058.62</v>
      </c>
      <c r="O90" s="78"/>
      <c r="P90" s="78"/>
      <c r="Q90" s="78"/>
      <c r="R90" s="78"/>
      <c r="S90" s="78"/>
      <c r="T90" s="78"/>
    </row>
    <row r="91" spans="1:20" ht="52.5" customHeight="1">
      <c r="A91" s="12">
        <v>84</v>
      </c>
      <c r="B91" s="10" t="s">
        <v>96</v>
      </c>
      <c r="C91" s="14" t="s">
        <v>95</v>
      </c>
      <c r="D91" s="16">
        <v>2</v>
      </c>
      <c r="E91" s="8" t="s">
        <v>389</v>
      </c>
      <c r="F91" s="19">
        <v>2</v>
      </c>
      <c r="G91" s="66" t="s">
        <v>400</v>
      </c>
      <c r="H91" s="5" t="s">
        <v>302</v>
      </c>
      <c r="I91" s="28" t="s">
        <v>77</v>
      </c>
      <c r="J91" s="43"/>
      <c r="K91" s="43"/>
      <c r="L91" s="43">
        <v>0</v>
      </c>
      <c r="M91" s="78">
        <f t="shared" si="7"/>
        <v>0</v>
      </c>
      <c r="N91" s="78"/>
      <c r="O91" s="78"/>
      <c r="P91" s="78"/>
      <c r="Q91" s="78"/>
      <c r="R91" s="78"/>
      <c r="S91" s="78"/>
      <c r="T91" s="78">
        <f t="shared" si="9"/>
        <v>0</v>
      </c>
    </row>
    <row r="92" spans="1:20" ht="52.5" customHeight="1">
      <c r="A92" s="12">
        <v>85</v>
      </c>
      <c r="B92" s="10" t="s">
        <v>94</v>
      </c>
      <c r="C92" s="14" t="s">
        <v>93</v>
      </c>
      <c r="D92" s="16">
        <v>1</v>
      </c>
      <c r="E92" s="8" t="s">
        <v>389</v>
      </c>
      <c r="F92" s="19">
        <v>2</v>
      </c>
      <c r="G92" s="66" t="s">
        <v>400</v>
      </c>
      <c r="H92" s="5" t="s">
        <v>301</v>
      </c>
      <c r="I92" s="28" t="s">
        <v>77</v>
      </c>
      <c r="J92" s="42"/>
      <c r="K92" s="42"/>
      <c r="L92" s="42">
        <f>'Dados Detalhados'!$L$874</f>
        <v>3182.41</v>
      </c>
      <c r="M92" s="78">
        <f t="shared" si="7"/>
        <v>3182.41</v>
      </c>
      <c r="N92" s="78">
        <f t="shared" si="8"/>
        <v>3182.41</v>
      </c>
      <c r="O92" s="78"/>
      <c r="P92" s="78"/>
      <c r="Q92" s="78"/>
      <c r="R92" s="78"/>
      <c r="S92" s="78"/>
      <c r="T92" s="78"/>
    </row>
    <row r="93" spans="1:20" ht="52.5" customHeight="1">
      <c r="A93" s="12">
        <v>86</v>
      </c>
      <c r="B93" s="10" t="s">
        <v>92</v>
      </c>
      <c r="C93" s="14" t="s">
        <v>91</v>
      </c>
      <c r="D93" s="16">
        <v>1</v>
      </c>
      <c r="E93" s="8" t="s">
        <v>390</v>
      </c>
      <c r="F93" s="19">
        <v>3</v>
      </c>
      <c r="G93" s="66" t="s">
        <v>402</v>
      </c>
      <c r="H93" s="5" t="s">
        <v>300</v>
      </c>
      <c r="I93" s="28" t="s">
        <v>77</v>
      </c>
      <c r="J93" s="224"/>
      <c r="K93" s="224"/>
      <c r="L93" s="224">
        <f>'Dados Detalhados'!$L$886</f>
        <v>3070.2</v>
      </c>
      <c r="M93" s="78">
        <f t="shared" si="7"/>
        <v>3070.2</v>
      </c>
      <c r="N93" s="78">
        <f t="shared" si="8"/>
        <v>3070.2</v>
      </c>
      <c r="O93" s="78"/>
      <c r="P93" s="78"/>
      <c r="Q93" s="78"/>
      <c r="R93" s="78"/>
      <c r="S93" s="78"/>
      <c r="T93" s="78"/>
    </row>
    <row r="94" spans="1:20" ht="61.5" customHeight="1">
      <c r="A94" s="12">
        <v>87</v>
      </c>
      <c r="B94" s="10" t="s">
        <v>90</v>
      </c>
      <c r="C94" s="14" t="s">
        <v>89</v>
      </c>
      <c r="D94" s="16">
        <v>3</v>
      </c>
      <c r="E94" s="8" t="s">
        <v>390</v>
      </c>
      <c r="F94" s="19">
        <v>3</v>
      </c>
      <c r="G94" s="66" t="s">
        <v>404</v>
      </c>
      <c r="H94" s="5"/>
      <c r="I94" s="28" t="s">
        <v>77</v>
      </c>
      <c r="J94" s="224"/>
      <c r="K94" s="43"/>
      <c r="L94" s="43">
        <v>0</v>
      </c>
      <c r="M94" s="78">
        <f t="shared" si="7"/>
        <v>0</v>
      </c>
      <c r="N94" s="78">
        <f t="shared" si="8"/>
        <v>0</v>
      </c>
      <c r="O94" s="78"/>
      <c r="P94" s="78"/>
      <c r="Q94" s="78"/>
      <c r="R94" s="78"/>
      <c r="S94" s="78"/>
      <c r="T94" s="78"/>
    </row>
    <row r="95" spans="1:20" ht="52.5" customHeight="1">
      <c r="A95" s="12">
        <v>88</v>
      </c>
      <c r="B95" s="10" t="s">
        <v>87</v>
      </c>
      <c r="C95" s="14" t="s">
        <v>86</v>
      </c>
      <c r="D95" s="16">
        <v>3</v>
      </c>
      <c r="E95" s="8" t="s">
        <v>390</v>
      </c>
      <c r="F95" s="19">
        <v>3</v>
      </c>
      <c r="G95" s="66" t="s">
        <v>404</v>
      </c>
      <c r="H95" s="5"/>
      <c r="I95" s="28" t="s">
        <v>77</v>
      </c>
      <c r="J95" s="43"/>
      <c r="K95" s="43"/>
      <c r="L95" s="43">
        <v>0</v>
      </c>
      <c r="M95" s="78">
        <f t="shared" si="7"/>
        <v>0</v>
      </c>
      <c r="N95" s="78"/>
      <c r="O95" s="78"/>
      <c r="P95" s="78"/>
      <c r="Q95" s="78"/>
      <c r="R95" s="78"/>
      <c r="S95" s="78"/>
      <c r="T95" s="78">
        <f t="shared" si="9"/>
        <v>0</v>
      </c>
    </row>
    <row r="96" spans="1:20" ht="52.5" customHeight="1">
      <c r="A96" s="12">
        <v>89</v>
      </c>
      <c r="B96" s="10" t="s">
        <v>85</v>
      </c>
      <c r="C96" s="14" t="s">
        <v>84</v>
      </c>
      <c r="D96" s="16">
        <v>2</v>
      </c>
      <c r="E96" s="8" t="s">
        <v>390</v>
      </c>
      <c r="F96" s="19">
        <v>3</v>
      </c>
      <c r="G96" s="66" t="s">
        <v>402</v>
      </c>
      <c r="H96" s="5"/>
      <c r="I96" s="28" t="s">
        <v>77</v>
      </c>
      <c r="J96" s="47"/>
      <c r="K96" s="47"/>
      <c r="L96" s="47">
        <f>'Dados Detalhados'!$L$925</f>
        <v>3000</v>
      </c>
      <c r="M96" s="78">
        <f t="shared" si="7"/>
        <v>3000</v>
      </c>
      <c r="N96" s="78"/>
      <c r="O96" s="78"/>
      <c r="P96" s="78"/>
      <c r="Q96" s="78"/>
      <c r="R96" s="78"/>
      <c r="S96" s="78"/>
      <c r="T96" s="78">
        <f t="shared" si="9"/>
        <v>3000</v>
      </c>
    </row>
    <row r="97" spans="1:20" ht="62.25" customHeight="1">
      <c r="A97" s="12">
        <v>90</v>
      </c>
      <c r="B97" s="10" t="s">
        <v>83</v>
      </c>
      <c r="C97" s="14" t="s">
        <v>82</v>
      </c>
      <c r="D97" s="16">
        <v>1</v>
      </c>
      <c r="E97" s="8" t="s">
        <v>390</v>
      </c>
      <c r="F97" s="19">
        <v>3</v>
      </c>
      <c r="G97" s="66" t="s">
        <v>402</v>
      </c>
      <c r="H97" s="5"/>
      <c r="I97" s="28" t="s">
        <v>77</v>
      </c>
      <c r="J97" s="47"/>
      <c r="K97" s="47"/>
      <c r="L97" s="43">
        <v>0</v>
      </c>
      <c r="M97" s="78">
        <f t="shared" si="7"/>
        <v>0</v>
      </c>
      <c r="N97" s="78"/>
      <c r="O97" s="78"/>
      <c r="P97" s="78"/>
      <c r="Q97" s="78"/>
      <c r="R97" s="78"/>
      <c r="S97" s="78"/>
      <c r="T97" s="78">
        <f t="shared" si="9"/>
        <v>0</v>
      </c>
    </row>
    <row r="98" spans="1:20" ht="52.5" customHeight="1">
      <c r="A98" s="12">
        <v>91</v>
      </c>
      <c r="B98" s="10" t="s">
        <v>81</v>
      </c>
      <c r="C98" s="14" t="s">
        <v>80</v>
      </c>
      <c r="D98" s="16">
        <v>1</v>
      </c>
      <c r="E98" s="8" t="s">
        <v>390</v>
      </c>
      <c r="F98" s="19">
        <v>3</v>
      </c>
      <c r="G98" s="66" t="s">
        <v>402</v>
      </c>
      <c r="H98" s="5"/>
      <c r="I98" s="28" t="s">
        <v>77</v>
      </c>
      <c r="J98" s="47"/>
      <c r="K98" s="47"/>
      <c r="L98" s="43">
        <v>0</v>
      </c>
      <c r="M98" s="78">
        <f t="shared" si="7"/>
        <v>0</v>
      </c>
      <c r="N98" s="78"/>
      <c r="O98" s="78"/>
      <c r="P98" s="78"/>
      <c r="Q98" s="78"/>
      <c r="R98" s="78"/>
      <c r="S98" s="78"/>
      <c r="T98" s="78">
        <f t="shared" si="9"/>
        <v>0</v>
      </c>
    </row>
    <row r="99" spans="1:20" ht="52.5" customHeight="1">
      <c r="A99" s="12">
        <v>92</v>
      </c>
      <c r="B99" s="10" t="s">
        <v>79</v>
      </c>
      <c r="C99" s="14" t="s">
        <v>78</v>
      </c>
      <c r="D99" s="6">
        <v>1</v>
      </c>
      <c r="E99" s="8" t="s">
        <v>390</v>
      </c>
      <c r="F99" s="19">
        <v>3</v>
      </c>
      <c r="G99" s="66" t="s">
        <v>402</v>
      </c>
      <c r="H99" s="5"/>
      <c r="I99" s="28" t="s">
        <v>77</v>
      </c>
      <c r="J99" s="48"/>
      <c r="K99" s="48"/>
      <c r="L99" s="48">
        <f>'Dados Detalhados'!$L$965</f>
        <v>2500</v>
      </c>
      <c r="M99" s="78">
        <f t="shared" si="7"/>
        <v>2500</v>
      </c>
      <c r="N99" s="78"/>
      <c r="O99" s="78"/>
      <c r="P99" s="78"/>
      <c r="Q99" s="78"/>
      <c r="R99" s="78">
        <f t="shared" ref="R99:R132" si="11">+M99</f>
        <v>2500</v>
      </c>
      <c r="S99" s="78"/>
      <c r="T99" s="78"/>
    </row>
    <row r="100" spans="1:20" ht="52.5" customHeight="1">
      <c r="A100" s="12">
        <v>93</v>
      </c>
      <c r="B100" s="10" t="s">
        <v>76</v>
      </c>
      <c r="C100" s="10" t="s">
        <v>75</v>
      </c>
      <c r="D100" s="15">
        <v>1</v>
      </c>
      <c r="E100" s="8" t="s">
        <v>42</v>
      </c>
      <c r="F100" s="8">
        <v>4</v>
      </c>
      <c r="G100" s="67" t="s">
        <v>406</v>
      </c>
      <c r="H100" s="9" t="s">
        <v>299</v>
      </c>
      <c r="I100" s="28" t="s">
        <v>41</v>
      </c>
      <c r="J100" s="42"/>
      <c r="K100" s="42"/>
      <c r="L100" s="42">
        <f>'Dados Detalhados'!$L$966</f>
        <v>0</v>
      </c>
      <c r="M100" s="78">
        <f t="shared" si="7"/>
        <v>0</v>
      </c>
      <c r="N100" s="78">
        <f t="shared" si="8"/>
        <v>0</v>
      </c>
      <c r="O100" s="78">
        <f t="shared" ref="O100:O132" si="12">+M100</f>
        <v>0</v>
      </c>
      <c r="P100" s="78">
        <f t="shared" ref="P100:P132" si="13">+M100</f>
        <v>0</v>
      </c>
      <c r="Q100" s="78">
        <f t="shared" si="10"/>
        <v>0</v>
      </c>
      <c r="R100" s="78">
        <f t="shared" si="11"/>
        <v>0</v>
      </c>
      <c r="S100" s="78"/>
      <c r="T100" s="78">
        <f t="shared" si="9"/>
        <v>0</v>
      </c>
    </row>
    <row r="101" spans="1:20" ht="52.5" customHeight="1">
      <c r="A101" s="12">
        <v>94</v>
      </c>
      <c r="B101" s="10" t="s">
        <v>74</v>
      </c>
      <c r="C101" s="10" t="s">
        <v>73</v>
      </c>
      <c r="D101" s="15">
        <v>1</v>
      </c>
      <c r="E101" s="8" t="s">
        <v>42</v>
      </c>
      <c r="F101" s="8">
        <v>4</v>
      </c>
      <c r="G101" s="67" t="s">
        <v>406</v>
      </c>
      <c r="H101" s="9" t="s">
        <v>298</v>
      </c>
      <c r="I101" s="28" t="s">
        <v>41</v>
      </c>
      <c r="J101" s="43"/>
      <c r="K101" s="43"/>
      <c r="L101" s="43">
        <v>0</v>
      </c>
      <c r="M101" s="78">
        <f t="shared" si="7"/>
        <v>0</v>
      </c>
      <c r="N101" s="78"/>
      <c r="O101" s="78"/>
      <c r="P101" s="78"/>
      <c r="Q101" s="78"/>
      <c r="R101" s="78"/>
      <c r="S101" s="78"/>
      <c r="T101" s="78">
        <f t="shared" si="9"/>
        <v>0</v>
      </c>
    </row>
    <row r="102" spans="1:20" ht="52.5" customHeight="1">
      <c r="A102" s="12">
        <v>95</v>
      </c>
      <c r="B102" s="10" t="s">
        <v>72</v>
      </c>
      <c r="C102" s="10" t="s">
        <v>71</v>
      </c>
      <c r="D102" s="15">
        <v>1</v>
      </c>
      <c r="E102" s="8" t="s">
        <v>42</v>
      </c>
      <c r="F102" s="8">
        <v>4</v>
      </c>
      <c r="G102" s="67" t="s">
        <v>406</v>
      </c>
      <c r="H102" s="9" t="s">
        <v>297</v>
      </c>
      <c r="I102" s="28" t="s">
        <v>41</v>
      </c>
      <c r="J102" s="42"/>
      <c r="K102" s="42"/>
      <c r="L102" s="42">
        <f>'Dados Detalhados'!$L$996</f>
        <v>0</v>
      </c>
      <c r="M102" s="78">
        <f t="shared" si="7"/>
        <v>0</v>
      </c>
      <c r="N102" s="78">
        <f t="shared" si="8"/>
        <v>0</v>
      </c>
      <c r="O102" s="78">
        <f t="shared" si="12"/>
        <v>0</v>
      </c>
      <c r="P102" s="78">
        <f t="shared" si="13"/>
        <v>0</v>
      </c>
      <c r="Q102" s="78">
        <f t="shared" si="10"/>
        <v>0</v>
      </c>
      <c r="R102" s="78">
        <f t="shared" si="11"/>
        <v>0</v>
      </c>
      <c r="S102" s="78"/>
      <c r="T102" s="78">
        <f t="shared" si="9"/>
        <v>0</v>
      </c>
    </row>
    <row r="103" spans="1:20" ht="52.5" customHeight="1">
      <c r="A103" s="12">
        <v>96</v>
      </c>
      <c r="B103" s="10" t="s">
        <v>70</v>
      </c>
      <c r="C103" s="10" t="s">
        <v>69</v>
      </c>
      <c r="D103" s="15">
        <v>1</v>
      </c>
      <c r="E103" s="8" t="s">
        <v>42</v>
      </c>
      <c r="F103" s="8">
        <v>4</v>
      </c>
      <c r="G103" s="67" t="s">
        <v>406</v>
      </c>
      <c r="H103" s="9" t="s">
        <v>296</v>
      </c>
      <c r="I103" s="28" t="s">
        <v>41</v>
      </c>
      <c r="J103" s="224"/>
      <c r="K103" s="224"/>
      <c r="L103" s="224">
        <f>'Dados Detalhados'!$L$1000</f>
        <v>366.67</v>
      </c>
      <c r="M103" s="78">
        <f t="shared" si="7"/>
        <v>366.67</v>
      </c>
      <c r="N103" s="78">
        <f t="shared" si="8"/>
        <v>366.67</v>
      </c>
      <c r="O103" s="78"/>
      <c r="P103" s="78"/>
      <c r="Q103" s="78"/>
      <c r="R103" s="78"/>
      <c r="S103" s="78"/>
      <c r="T103" s="78"/>
    </row>
    <row r="104" spans="1:20" ht="52.5" customHeight="1">
      <c r="A104" s="12">
        <v>97</v>
      </c>
      <c r="B104" s="10" t="s">
        <v>68</v>
      </c>
      <c r="C104" s="14" t="s">
        <v>67</v>
      </c>
      <c r="D104" s="15">
        <v>1</v>
      </c>
      <c r="E104" s="8" t="s">
        <v>42</v>
      </c>
      <c r="F104" s="8">
        <v>4</v>
      </c>
      <c r="G104" s="67" t="s">
        <v>405</v>
      </c>
      <c r="H104" s="5" t="s">
        <v>295</v>
      </c>
      <c r="I104" s="28" t="s">
        <v>41</v>
      </c>
      <c r="J104" s="48"/>
      <c r="K104" s="48"/>
      <c r="L104" s="48">
        <f>'Dados Detalhados'!$L$1010</f>
        <v>975</v>
      </c>
      <c r="M104" s="78">
        <f t="shared" si="7"/>
        <v>975</v>
      </c>
      <c r="N104" s="78"/>
      <c r="O104" s="78"/>
      <c r="P104" s="78"/>
      <c r="Q104" s="78"/>
      <c r="R104" s="78">
        <f t="shared" si="11"/>
        <v>975</v>
      </c>
      <c r="S104" s="78"/>
      <c r="T104" s="78"/>
    </row>
    <row r="105" spans="1:20" ht="52.5" customHeight="1">
      <c r="A105" s="12">
        <v>98</v>
      </c>
      <c r="B105" s="13" t="s">
        <v>66</v>
      </c>
      <c r="C105" s="13" t="s">
        <v>65</v>
      </c>
      <c r="D105" s="15">
        <v>1</v>
      </c>
      <c r="E105" s="8" t="s">
        <v>42</v>
      </c>
      <c r="F105" s="8">
        <v>4</v>
      </c>
      <c r="G105" s="67" t="s">
        <v>405</v>
      </c>
      <c r="H105" s="7" t="s">
        <v>294</v>
      </c>
      <c r="I105" s="28" t="s">
        <v>41</v>
      </c>
      <c r="J105" s="47"/>
      <c r="K105" s="47"/>
      <c r="L105" s="47">
        <f>'Dados Detalhados'!$L$1011</f>
        <v>1262.48</v>
      </c>
      <c r="M105" s="78">
        <f t="shared" si="7"/>
        <v>1262.48</v>
      </c>
      <c r="N105" s="78"/>
      <c r="O105" s="78"/>
      <c r="P105" s="78"/>
      <c r="Q105" s="78"/>
      <c r="R105" s="78"/>
      <c r="S105" s="78"/>
      <c r="T105" s="78">
        <f t="shared" si="9"/>
        <v>1262.48</v>
      </c>
    </row>
    <row r="106" spans="1:20" ht="52.5" customHeight="1">
      <c r="A106" s="12">
        <v>99</v>
      </c>
      <c r="B106" s="10" t="s">
        <v>64</v>
      </c>
      <c r="C106" s="10" t="s">
        <v>63</v>
      </c>
      <c r="D106" s="15">
        <v>1</v>
      </c>
      <c r="E106" s="8" t="s">
        <v>42</v>
      </c>
      <c r="F106" s="8">
        <v>4</v>
      </c>
      <c r="G106" s="67" t="s">
        <v>406</v>
      </c>
      <c r="H106" s="9"/>
      <c r="I106" s="28" t="s">
        <v>41</v>
      </c>
      <c r="J106" s="42"/>
      <c r="K106" s="42"/>
      <c r="L106" s="42">
        <f>'Dados Detalhados'!$L$1013</f>
        <v>0</v>
      </c>
      <c r="M106" s="78">
        <f t="shared" si="7"/>
        <v>0</v>
      </c>
      <c r="N106" s="78"/>
      <c r="O106" s="78"/>
      <c r="P106" s="78"/>
      <c r="Q106" s="78"/>
      <c r="R106" s="78"/>
      <c r="S106" s="78"/>
      <c r="T106" s="78">
        <f t="shared" si="9"/>
        <v>0</v>
      </c>
    </row>
    <row r="107" spans="1:20" ht="52.5" customHeight="1">
      <c r="A107" s="12">
        <v>100</v>
      </c>
      <c r="B107" s="10" t="s">
        <v>62</v>
      </c>
      <c r="C107" s="10" t="s">
        <v>61</v>
      </c>
      <c r="D107" s="15">
        <v>1</v>
      </c>
      <c r="E107" s="8" t="s">
        <v>42</v>
      </c>
      <c r="F107" s="8">
        <v>4</v>
      </c>
      <c r="G107" s="67" t="s">
        <v>406</v>
      </c>
      <c r="H107" s="9" t="s">
        <v>293</v>
      </c>
      <c r="I107" s="28" t="s">
        <v>41</v>
      </c>
      <c r="J107" s="42"/>
      <c r="K107" s="42"/>
      <c r="L107" s="42">
        <f>'Dados Detalhados'!$L$1016</f>
        <v>0</v>
      </c>
      <c r="M107" s="78">
        <f t="shared" si="7"/>
        <v>0</v>
      </c>
      <c r="N107" s="78"/>
      <c r="O107" s="78"/>
      <c r="P107" s="78"/>
      <c r="Q107" s="78"/>
      <c r="R107" s="78"/>
      <c r="S107" s="78"/>
      <c r="T107" s="78">
        <f t="shared" si="9"/>
        <v>0</v>
      </c>
    </row>
    <row r="108" spans="1:20" ht="52.5" customHeight="1">
      <c r="A108" s="12">
        <v>101</v>
      </c>
      <c r="B108" s="10" t="s">
        <v>60</v>
      </c>
      <c r="C108" s="10" t="s">
        <v>59</v>
      </c>
      <c r="D108" s="15">
        <v>1</v>
      </c>
      <c r="E108" s="8" t="s">
        <v>42</v>
      </c>
      <c r="F108" s="8">
        <v>4</v>
      </c>
      <c r="G108" s="67" t="s">
        <v>405</v>
      </c>
      <c r="H108" s="9" t="s">
        <v>292</v>
      </c>
      <c r="I108" s="28" t="s">
        <v>41</v>
      </c>
      <c r="J108" s="48"/>
      <c r="K108" s="48"/>
      <c r="L108" s="48">
        <f>'Dados Detalhados'!$L$1025</f>
        <v>2621.6928999999996</v>
      </c>
      <c r="M108" s="78">
        <f t="shared" si="7"/>
        <v>2621.6928999999996</v>
      </c>
      <c r="N108" s="78"/>
      <c r="O108" s="78"/>
      <c r="P108" s="78"/>
      <c r="Q108" s="78"/>
      <c r="R108" s="78">
        <f t="shared" si="11"/>
        <v>2621.6928999999996</v>
      </c>
      <c r="S108" s="78"/>
      <c r="T108" s="78"/>
    </row>
    <row r="109" spans="1:20" ht="52.5" customHeight="1">
      <c r="A109" s="12">
        <v>102</v>
      </c>
      <c r="B109" s="14" t="s">
        <v>58</v>
      </c>
      <c r="C109" s="14" t="s">
        <v>57</v>
      </c>
      <c r="D109" s="15">
        <v>1</v>
      </c>
      <c r="E109" s="8" t="s">
        <v>42</v>
      </c>
      <c r="F109" s="8">
        <v>4</v>
      </c>
      <c r="G109" s="67" t="s">
        <v>405</v>
      </c>
      <c r="H109" s="5" t="s">
        <v>291</v>
      </c>
      <c r="I109" s="28" t="s">
        <v>41</v>
      </c>
      <c r="J109" s="42"/>
      <c r="K109" s="42"/>
      <c r="L109" s="42">
        <f>'Dados Detalhados'!$L$1026</f>
        <v>0</v>
      </c>
      <c r="M109" s="78">
        <f t="shared" si="7"/>
        <v>0</v>
      </c>
      <c r="N109" s="78">
        <f t="shared" si="8"/>
        <v>0</v>
      </c>
      <c r="O109" s="78">
        <f t="shared" si="12"/>
        <v>0</v>
      </c>
      <c r="P109" s="78">
        <f t="shared" si="13"/>
        <v>0</v>
      </c>
      <c r="Q109" s="78">
        <f t="shared" si="10"/>
        <v>0</v>
      </c>
      <c r="R109" s="78">
        <f t="shared" si="11"/>
        <v>0</v>
      </c>
      <c r="S109" s="78"/>
      <c r="T109" s="78">
        <f t="shared" si="9"/>
        <v>0</v>
      </c>
    </row>
    <row r="110" spans="1:20" ht="52.5" customHeight="1">
      <c r="A110" s="12">
        <v>103</v>
      </c>
      <c r="B110" s="10" t="s">
        <v>56</v>
      </c>
      <c r="C110" s="14" t="s">
        <v>55</v>
      </c>
      <c r="D110" s="15">
        <v>1</v>
      </c>
      <c r="E110" s="8" t="s">
        <v>42</v>
      </c>
      <c r="F110" s="8">
        <v>4</v>
      </c>
      <c r="G110" s="67" t="s">
        <v>406</v>
      </c>
      <c r="H110" s="5"/>
      <c r="I110" s="28" t="s">
        <v>41</v>
      </c>
      <c r="J110" s="43"/>
      <c r="K110" s="43"/>
      <c r="L110" s="43">
        <v>0</v>
      </c>
      <c r="M110" s="78">
        <f t="shared" si="7"/>
        <v>0</v>
      </c>
      <c r="N110" s="78">
        <f t="shared" si="8"/>
        <v>0</v>
      </c>
      <c r="O110" s="78"/>
      <c r="P110" s="78"/>
      <c r="Q110" s="78"/>
      <c r="R110" s="78"/>
      <c r="S110" s="78"/>
      <c r="T110" s="78"/>
    </row>
    <row r="111" spans="1:20" ht="52.5" customHeight="1">
      <c r="A111" s="12">
        <v>104</v>
      </c>
      <c r="B111" s="10" t="s">
        <v>54</v>
      </c>
      <c r="C111" s="14" t="s">
        <v>53</v>
      </c>
      <c r="D111" s="15">
        <v>1</v>
      </c>
      <c r="E111" s="8" t="s">
        <v>42</v>
      </c>
      <c r="F111" s="8">
        <v>4</v>
      </c>
      <c r="G111" s="67" t="s">
        <v>406</v>
      </c>
      <c r="H111" s="5"/>
      <c r="I111" s="28" t="s">
        <v>41</v>
      </c>
      <c r="J111" s="43"/>
      <c r="K111" s="224"/>
      <c r="L111" s="43">
        <v>0</v>
      </c>
      <c r="M111" s="78">
        <f t="shared" si="7"/>
        <v>0</v>
      </c>
      <c r="N111" s="78">
        <f t="shared" si="8"/>
        <v>0</v>
      </c>
      <c r="O111" s="78"/>
      <c r="P111" s="78"/>
      <c r="Q111" s="78"/>
      <c r="R111" s="78"/>
      <c r="S111" s="78"/>
      <c r="T111" s="78"/>
    </row>
    <row r="112" spans="1:20" ht="52.5" customHeight="1">
      <c r="A112" s="12">
        <v>105</v>
      </c>
      <c r="B112" s="10" t="s">
        <v>52</v>
      </c>
      <c r="C112" s="14" t="s">
        <v>51</v>
      </c>
      <c r="D112" s="15">
        <v>1</v>
      </c>
      <c r="E112" s="8" t="s">
        <v>42</v>
      </c>
      <c r="F112" s="8">
        <v>4</v>
      </c>
      <c r="G112" s="67" t="s">
        <v>405</v>
      </c>
      <c r="H112" s="5"/>
      <c r="I112" s="28" t="s">
        <v>41</v>
      </c>
      <c r="J112" s="42"/>
      <c r="K112" s="42"/>
      <c r="L112" s="42">
        <f>'Dados Detalhados'!$L$1061</f>
        <v>0</v>
      </c>
      <c r="M112" s="78">
        <f t="shared" si="7"/>
        <v>0</v>
      </c>
      <c r="N112" s="78">
        <f t="shared" si="8"/>
        <v>0</v>
      </c>
      <c r="O112" s="78">
        <f t="shared" si="12"/>
        <v>0</v>
      </c>
      <c r="P112" s="78">
        <f t="shared" si="13"/>
        <v>0</v>
      </c>
      <c r="Q112" s="78">
        <f t="shared" si="10"/>
        <v>0</v>
      </c>
      <c r="R112" s="78">
        <f t="shared" si="11"/>
        <v>0</v>
      </c>
      <c r="S112" s="78"/>
      <c r="T112" s="78">
        <f t="shared" si="9"/>
        <v>0</v>
      </c>
    </row>
    <row r="113" spans="1:20" ht="52.5" customHeight="1">
      <c r="A113" s="12">
        <v>106</v>
      </c>
      <c r="B113" s="10" t="s">
        <v>50</v>
      </c>
      <c r="C113" s="14" t="s">
        <v>49</v>
      </c>
      <c r="D113" s="15">
        <v>1</v>
      </c>
      <c r="E113" s="8" t="s">
        <v>42</v>
      </c>
      <c r="F113" s="8">
        <v>4</v>
      </c>
      <c r="G113" s="67" t="s">
        <v>405</v>
      </c>
      <c r="H113" s="5"/>
      <c r="I113" s="28" t="s">
        <v>41</v>
      </c>
      <c r="J113" s="42"/>
      <c r="K113" s="42"/>
      <c r="L113" s="42">
        <f>'Dados Detalhados'!$L$1063</f>
        <v>0</v>
      </c>
      <c r="M113" s="78">
        <f t="shared" si="7"/>
        <v>0</v>
      </c>
      <c r="N113" s="78">
        <f t="shared" si="8"/>
        <v>0</v>
      </c>
      <c r="O113" s="78">
        <f t="shared" si="12"/>
        <v>0</v>
      </c>
      <c r="P113" s="78">
        <f t="shared" si="13"/>
        <v>0</v>
      </c>
      <c r="Q113" s="78">
        <f t="shared" si="10"/>
        <v>0</v>
      </c>
      <c r="R113" s="78">
        <f t="shared" si="11"/>
        <v>0</v>
      </c>
      <c r="S113" s="78"/>
      <c r="T113" s="78">
        <f t="shared" si="9"/>
        <v>0</v>
      </c>
    </row>
    <row r="114" spans="1:20" ht="52.5" customHeight="1">
      <c r="A114" s="12">
        <v>107</v>
      </c>
      <c r="B114" s="10" t="s">
        <v>48</v>
      </c>
      <c r="C114" s="14" t="s">
        <v>47</v>
      </c>
      <c r="D114" s="15">
        <v>1</v>
      </c>
      <c r="E114" s="8" t="s">
        <v>42</v>
      </c>
      <c r="F114" s="8">
        <v>4</v>
      </c>
      <c r="G114" s="67" t="s">
        <v>405</v>
      </c>
      <c r="H114" s="5"/>
      <c r="I114" s="28" t="s">
        <v>41</v>
      </c>
      <c r="J114" s="42"/>
      <c r="K114" s="42"/>
      <c r="L114" s="42">
        <f>'Dados Detalhados'!$L$1065</f>
        <v>0</v>
      </c>
      <c r="M114" s="78">
        <f t="shared" si="7"/>
        <v>0</v>
      </c>
      <c r="N114" s="78">
        <f t="shared" si="8"/>
        <v>0</v>
      </c>
      <c r="O114" s="78">
        <f t="shared" si="12"/>
        <v>0</v>
      </c>
      <c r="P114" s="78">
        <f t="shared" si="13"/>
        <v>0</v>
      </c>
      <c r="Q114" s="78">
        <f t="shared" si="10"/>
        <v>0</v>
      </c>
      <c r="R114" s="78">
        <f t="shared" si="11"/>
        <v>0</v>
      </c>
      <c r="S114" s="78"/>
      <c r="T114" s="78">
        <f t="shared" si="9"/>
        <v>0</v>
      </c>
    </row>
    <row r="115" spans="1:20" ht="52.5" customHeight="1">
      <c r="A115" s="12">
        <v>108</v>
      </c>
      <c r="B115" s="10" t="s">
        <v>46</v>
      </c>
      <c r="C115" s="14" t="s">
        <v>45</v>
      </c>
      <c r="D115" s="15">
        <v>1</v>
      </c>
      <c r="E115" s="8" t="s">
        <v>42</v>
      </c>
      <c r="F115" s="8">
        <v>4</v>
      </c>
      <c r="G115" s="67" t="s">
        <v>406</v>
      </c>
      <c r="H115" s="5"/>
      <c r="I115" s="28" t="s">
        <v>41</v>
      </c>
      <c r="J115" s="42"/>
      <c r="K115" s="42"/>
      <c r="L115" s="42">
        <f>'Dados Detalhados'!$L$1067</f>
        <v>2000</v>
      </c>
      <c r="M115" s="78">
        <f t="shared" si="7"/>
        <v>2000</v>
      </c>
      <c r="N115" s="78"/>
      <c r="O115" s="78"/>
      <c r="P115" s="78"/>
      <c r="Q115" s="78"/>
      <c r="R115" s="78"/>
      <c r="S115" s="78"/>
      <c r="T115" s="78">
        <f t="shared" si="9"/>
        <v>2000</v>
      </c>
    </row>
    <row r="116" spans="1:20" ht="52.5" customHeight="1">
      <c r="A116" s="12">
        <v>109</v>
      </c>
      <c r="B116" s="26" t="s">
        <v>44</v>
      </c>
      <c r="C116" s="14" t="s">
        <v>43</v>
      </c>
      <c r="D116" s="15">
        <v>1</v>
      </c>
      <c r="E116" s="8" t="s">
        <v>42</v>
      </c>
      <c r="F116" s="8">
        <v>4</v>
      </c>
      <c r="G116" s="67" t="s">
        <v>406</v>
      </c>
      <c r="H116" s="5"/>
      <c r="I116" s="28" t="s">
        <v>41</v>
      </c>
      <c r="J116" s="43"/>
      <c r="K116" s="43"/>
      <c r="L116" s="43">
        <v>0</v>
      </c>
      <c r="M116" s="78">
        <f t="shared" si="7"/>
        <v>0</v>
      </c>
      <c r="N116" s="78"/>
      <c r="O116" s="78"/>
      <c r="P116" s="78"/>
      <c r="Q116" s="78"/>
      <c r="R116" s="78">
        <f t="shared" si="11"/>
        <v>0</v>
      </c>
      <c r="S116" s="78"/>
      <c r="T116" s="78"/>
    </row>
    <row r="117" spans="1:20" ht="52.5" customHeight="1">
      <c r="A117" s="12">
        <v>110</v>
      </c>
      <c r="B117" s="10" t="s">
        <v>40</v>
      </c>
      <c r="C117" s="14" t="s">
        <v>39</v>
      </c>
      <c r="D117" s="6">
        <v>1</v>
      </c>
      <c r="E117" s="8" t="s">
        <v>4</v>
      </c>
      <c r="F117" s="8">
        <v>5</v>
      </c>
      <c r="G117" s="66" t="s">
        <v>410</v>
      </c>
      <c r="H117" s="5" t="s">
        <v>290</v>
      </c>
      <c r="I117" s="28" t="s">
        <v>3</v>
      </c>
      <c r="J117" s="43"/>
      <c r="K117" s="224"/>
      <c r="L117" s="43">
        <v>0</v>
      </c>
      <c r="M117" s="78">
        <f t="shared" si="7"/>
        <v>0</v>
      </c>
      <c r="N117" s="78">
        <f t="shared" si="8"/>
        <v>0</v>
      </c>
      <c r="O117" s="78"/>
      <c r="P117" s="78"/>
      <c r="Q117" s="78"/>
      <c r="R117" s="78"/>
      <c r="S117" s="78"/>
      <c r="T117" s="78"/>
    </row>
    <row r="118" spans="1:20" ht="52.5" customHeight="1">
      <c r="A118" s="12">
        <v>111</v>
      </c>
      <c r="B118" s="10" t="s">
        <v>38</v>
      </c>
      <c r="C118" s="14" t="s">
        <v>37</v>
      </c>
      <c r="D118" s="6">
        <v>1</v>
      </c>
      <c r="E118" s="8" t="s">
        <v>4</v>
      </c>
      <c r="F118" s="8">
        <v>5</v>
      </c>
      <c r="G118" s="66" t="s">
        <v>410</v>
      </c>
      <c r="H118" s="5" t="s">
        <v>289</v>
      </c>
      <c r="I118" s="28" t="s">
        <v>3</v>
      </c>
      <c r="J118" s="43"/>
      <c r="K118" s="43"/>
      <c r="L118" s="43">
        <v>0</v>
      </c>
      <c r="M118" s="78">
        <f t="shared" si="7"/>
        <v>0</v>
      </c>
      <c r="N118" s="78">
        <f t="shared" si="8"/>
        <v>0</v>
      </c>
      <c r="O118" s="78"/>
      <c r="P118" s="78"/>
      <c r="Q118" s="78"/>
      <c r="R118" s="78"/>
      <c r="S118" s="78"/>
      <c r="T118" s="78"/>
    </row>
    <row r="119" spans="1:20" ht="52.5" customHeight="1">
      <c r="A119" s="12">
        <v>112</v>
      </c>
      <c r="B119" s="10" t="s">
        <v>36</v>
      </c>
      <c r="C119" s="14" t="s">
        <v>903</v>
      </c>
      <c r="D119" s="6">
        <v>2</v>
      </c>
      <c r="E119" s="8" t="s">
        <v>4</v>
      </c>
      <c r="F119" s="8">
        <v>5</v>
      </c>
      <c r="G119" s="66" t="s">
        <v>410</v>
      </c>
      <c r="H119" s="5" t="s">
        <v>288</v>
      </c>
      <c r="I119" s="28" t="s">
        <v>3</v>
      </c>
      <c r="J119" s="224"/>
      <c r="K119" s="224"/>
      <c r="L119" s="43">
        <v>0</v>
      </c>
      <c r="M119" s="78">
        <f t="shared" si="7"/>
        <v>0</v>
      </c>
      <c r="N119" s="78">
        <f t="shared" si="8"/>
        <v>0</v>
      </c>
      <c r="O119" s="78"/>
      <c r="P119" s="78"/>
      <c r="Q119" s="78"/>
      <c r="R119" s="78"/>
      <c r="S119" s="78"/>
      <c r="T119" s="78"/>
    </row>
    <row r="120" spans="1:20" ht="52.5" customHeight="1">
      <c r="A120" s="12">
        <v>113</v>
      </c>
      <c r="B120" s="10" t="s">
        <v>33</v>
      </c>
      <c r="C120" s="14" t="s">
        <v>32</v>
      </c>
      <c r="D120" s="6">
        <v>1</v>
      </c>
      <c r="E120" s="8" t="s">
        <v>4</v>
      </c>
      <c r="F120" s="8">
        <v>5</v>
      </c>
      <c r="G120" s="66" t="s">
        <v>407</v>
      </c>
      <c r="H120" s="9" t="s">
        <v>288</v>
      </c>
      <c r="I120" s="28" t="s">
        <v>3</v>
      </c>
      <c r="J120" s="226"/>
      <c r="K120" s="43"/>
      <c r="L120" s="43">
        <v>0</v>
      </c>
      <c r="M120" s="78">
        <f t="shared" si="7"/>
        <v>0</v>
      </c>
      <c r="N120" s="78">
        <f>+J120/2</f>
        <v>0</v>
      </c>
      <c r="O120" s="78">
        <f>+J120/2</f>
        <v>0</v>
      </c>
      <c r="P120" s="78"/>
      <c r="Q120" s="78"/>
      <c r="R120" s="78"/>
      <c r="S120" s="78"/>
      <c r="T120" s="78"/>
    </row>
    <row r="121" spans="1:20" ht="52.5" customHeight="1">
      <c r="A121" s="12">
        <v>114</v>
      </c>
      <c r="B121" s="10" t="s">
        <v>31</v>
      </c>
      <c r="C121" s="14" t="s">
        <v>30</v>
      </c>
      <c r="D121" s="6">
        <v>1</v>
      </c>
      <c r="E121" s="8" t="s">
        <v>4</v>
      </c>
      <c r="F121" s="8">
        <v>5</v>
      </c>
      <c r="G121" s="66" t="s">
        <v>407</v>
      </c>
      <c r="H121" s="5" t="s">
        <v>287</v>
      </c>
      <c r="I121" s="28" t="s">
        <v>3</v>
      </c>
      <c r="J121" s="43"/>
      <c r="K121" s="43"/>
      <c r="L121" s="43">
        <v>0</v>
      </c>
      <c r="M121" s="78">
        <f t="shared" si="7"/>
        <v>0</v>
      </c>
      <c r="N121" s="78"/>
      <c r="O121" s="78">
        <f t="shared" si="12"/>
        <v>0</v>
      </c>
      <c r="P121" s="78"/>
      <c r="Q121" s="78"/>
      <c r="R121" s="78"/>
      <c r="S121" s="78"/>
      <c r="T121" s="78"/>
    </row>
    <row r="122" spans="1:20" ht="52.5" customHeight="1">
      <c r="A122" s="12">
        <v>115</v>
      </c>
      <c r="B122" s="10" t="s">
        <v>29</v>
      </c>
      <c r="C122" s="59" t="s">
        <v>28</v>
      </c>
      <c r="D122" s="58">
        <v>1</v>
      </c>
      <c r="E122" s="57" t="s">
        <v>4</v>
      </c>
      <c r="F122" s="8">
        <v>5</v>
      </c>
      <c r="G122" s="66" t="s">
        <v>407</v>
      </c>
      <c r="H122" s="5" t="s">
        <v>286</v>
      </c>
      <c r="I122" s="28" t="s">
        <v>3</v>
      </c>
      <c r="J122" s="234"/>
      <c r="K122" s="234"/>
      <c r="L122" s="234">
        <f>'Dados Detalhados'!$L$1170</f>
        <v>22942</v>
      </c>
      <c r="M122" s="78">
        <f t="shared" si="7"/>
        <v>22942</v>
      </c>
      <c r="N122" s="78">
        <f t="shared" si="8"/>
        <v>22942</v>
      </c>
      <c r="O122" s="78"/>
      <c r="P122" s="78"/>
      <c r="Q122" s="78"/>
      <c r="R122" s="78"/>
      <c r="S122" s="78"/>
      <c r="T122" s="78"/>
    </row>
    <row r="123" spans="1:20" ht="52.5" customHeight="1">
      <c r="A123" s="12">
        <v>116</v>
      </c>
      <c r="B123" s="11" t="s">
        <v>27</v>
      </c>
      <c r="C123" s="11" t="s">
        <v>26</v>
      </c>
      <c r="D123" s="6">
        <v>1</v>
      </c>
      <c r="E123" s="8" t="s">
        <v>4</v>
      </c>
      <c r="F123" s="8">
        <v>5</v>
      </c>
      <c r="G123" s="66" t="s">
        <v>407</v>
      </c>
      <c r="H123" s="5" t="s">
        <v>286</v>
      </c>
      <c r="I123" s="28" t="s">
        <v>3</v>
      </c>
      <c r="J123" s="235"/>
      <c r="K123" s="235"/>
      <c r="L123" s="234">
        <f>'Dados Detalhados'!$L$1176</f>
        <v>19680</v>
      </c>
      <c r="M123" s="78">
        <f t="shared" si="7"/>
        <v>19680</v>
      </c>
      <c r="N123" s="78">
        <f>+L123</f>
        <v>19680</v>
      </c>
      <c r="O123" s="78">
        <f>SUM(J123:K123)</f>
        <v>0</v>
      </c>
      <c r="P123" s="78"/>
      <c r="Q123" s="78"/>
      <c r="R123" s="78"/>
      <c r="S123" s="78"/>
      <c r="T123" s="78"/>
    </row>
    <row r="124" spans="1:20" ht="52.5" customHeight="1">
      <c r="A124" s="12">
        <v>117</v>
      </c>
      <c r="B124" s="11" t="s">
        <v>25</v>
      </c>
      <c r="C124" s="11" t="s">
        <v>24</v>
      </c>
      <c r="D124" s="6">
        <v>1</v>
      </c>
      <c r="E124" s="8" t="s">
        <v>4</v>
      </c>
      <c r="F124" s="8">
        <v>5</v>
      </c>
      <c r="G124" s="66" t="s">
        <v>407</v>
      </c>
      <c r="H124" s="5" t="s">
        <v>285</v>
      </c>
      <c r="I124" s="28" t="s">
        <v>3</v>
      </c>
      <c r="J124" s="224"/>
      <c r="K124" s="224"/>
      <c r="L124" s="224">
        <f>'Dados Detalhados'!$L$1177</f>
        <v>1003.33</v>
      </c>
      <c r="M124" s="78">
        <f t="shared" si="7"/>
        <v>1003.33</v>
      </c>
      <c r="N124" s="78">
        <f t="shared" si="8"/>
        <v>1003.33</v>
      </c>
      <c r="O124" s="78"/>
      <c r="P124" s="78"/>
      <c r="Q124" s="78"/>
      <c r="R124" s="78"/>
      <c r="S124" s="78"/>
      <c r="T124" s="78"/>
    </row>
    <row r="125" spans="1:20" ht="52.5" customHeight="1">
      <c r="A125" s="12">
        <v>118</v>
      </c>
      <c r="B125" s="1" t="s">
        <v>23</v>
      </c>
      <c r="C125" s="1" t="s">
        <v>22</v>
      </c>
      <c r="D125" s="6">
        <v>2</v>
      </c>
      <c r="E125" s="8" t="s">
        <v>4</v>
      </c>
      <c r="F125" s="8">
        <v>5</v>
      </c>
      <c r="G125" s="66" t="s">
        <v>410</v>
      </c>
      <c r="H125" s="7" t="s">
        <v>284</v>
      </c>
      <c r="I125" s="28" t="s">
        <v>3</v>
      </c>
      <c r="J125" s="42"/>
      <c r="K125" s="42"/>
      <c r="L125" s="42">
        <f>'Dados Detalhados'!$L$1179</f>
        <v>0</v>
      </c>
      <c r="M125" s="78">
        <f t="shared" si="7"/>
        <v>0</v>
      </c>
      <c r="N125" s="78">
        <f t="shared" si="8"/>
        <v>0</v>
      </c>
      <c r="O125" s="78">
        <f t="shared" si="12"/>
        <v>0</v>
      </c>
      <c r="P125" s="78">
        <f t="shared" si="13"/>
        <v>0</v>
      </c>
      <c r="Q125" s="78">
        <f t="shared" si="10"/>
        <v>0</v>
      </c>
      <c r="R125" s="78">
        <f t="shared" si="11"/>
        <v>0</v>
      </c>
      <c r="S125" s="78"/>
      <c r="T125" s="78">
        <f t="shared" si="9"/>
        <v>0</v>
      </c>
    </row>
    <row r="126" spans="1:20" ht="52.5" customHeight="1">
      <c r="A126" s="12">
        <v>119</v>
      </c>
      <c r="B126" s="11" t="s">
        <v>21</v>
      </c>
      <c r="C126" s="11" t="s">
        <v>20</v>
      </c>
      <c r="D126" s="6">
        <v>1</v>
      </c>
      <c r="E126" s="8" t="s">
        <v>4</v>
      </c>
      <c r="F126" s="8">
        <v>5</v>
      </c>
      <c r="G126" s="66" t="s">
        <v>402</v>
      </c>
      <c r="H126" s="5" t="s">
        <v>283</v>
      </c>
      <c r="I126" s="28" t="s">
        <v>3</v>
      </c>
      <c r="J126" s="224"/>
      <c r="K126" s="224"/>
      <c r="L126" s="224">
        <f>'Dados Detalhados'!$L$1187</f>
        <v>35363</v>
      </c>
      <c r="M126" s="78">
        <f t="shared" si="7"/>
        <v>35363</v>
      </c>
      <c r="N126" s="78">
        <f t="shared" si="8"/>
        <v>35363</v>
      </c>
      <c r="O126" s="78"/>
      <c r="P126" s="78"/>
      <c r="Q126" s="78"/>
      <c r="R126" s="78"/>
      <c r="S126" s="78"/>
      <c r="T126" s="78"/>
    </row>
    <row r="127" spans="1:20" ht="52.5" customHeight="1">
      <c r="A127" s="12"/>
      <c r="B127" s="11" t="s">
        <v>854</v>
      </c>
      <c r="C127" s="11" t="s">
        <v>855</v>
      </c>
      <c r="D127" s="6">
        <v>1</v>
      </c>
      <c r="E127" s="8" t="s">
        <v>4</v>
      </c>
      <c r="F127" s="8">
        <v>6</v>
      </c>
      <c r="G127" s="66" t="s">
        <v>402</v>
      </c>
      <c r="H127" s="5"/>
      <c r="I127" s="28"/>
      <c r="J127" s="48"/>
      <c r="K127" s="48"/>
      <c r="L127" s="48">
        <f>'Dados Detalhados'!$L$1188</f>
        <v>238.1</v>
      </c>
      <c r="M127" s="78">
        <f t="shared" si="7"/>
        <v>238.1</v>
      </c>
      <c r="N127" s="78"/>
      <c r="O127" s="78"/>
      <c r="P127" s="78"/>
      <c r="Q127" s="78"/>
      <c r="R127" s="78">
        <f t="shared" si="11"/>
        <v>238.1</v>
      </c>
      <c r="S127" s="78"/>
      <c r="T127" s="78"/>
    </row>
    <row r="128" spans="1:20" ht="52.5" customHeight="1">
      <c r="A128" s="12">
        <v>120</v>
      </c>
      <c r="B128" s="11" t="s">
        <v>19</v>
      </c>
      <c r="C128" s="11" t="s">
        <v>18</v>
      </c>
      <c r="D128" s="6">
        <v>2</v>
      </c>
      <c r="E128" s="8" t="s">
        <v>4</v>
      </c>
      <c r="F128" s="8">
        <v>5</v>
      </c>
      <c r="G128" s="66" t="s">
        <v>402</v>
      </c>
      <c r="H128" s="5" t="s">
        <v>281</v>
      </c>
      <c r="I128" s="28" t="s">
        <v>3</v>
      </c>
      <c r="J128" s="224"/>
      <c r="K128" s="224"/>
      <c r="L128" s="224">
        <f>'Dados Detalhados'!$L$1193</f>
        <v>9523.81</v>
      </c>
      <c r="M128" s="78">
        <f t="shared" si="7"/>
        <v>9523.81</v>
      </c>
      <c r="N128" s="78">
        <f t="shared" si="8"/>
        <v>9523.81</v>
      </c>
      <c r="O128" s="78"/>
      <c r="P128" s="78"/>
      <c r="Q128" s="78"/>
      <c r="R128" s="78"/>
      <c r="S128" s="78"/>
      <c r="T128" s="78"/>
    </row>
    <row r="129" spans="1:20" ht="52.5" customHeight="1">
      <c r="A129" s="12">
        <v>121</v>
      </c>
      <c r="B129" s="11" t="s">
        <v>17</v>
      </c>
      <c r="C129" s="11" t="s">
        <v>16</v>
      </c>
      <c r="D129" s="6">
        <v>1</v>
      </c>
      <c r="E129" s="8" t="s">
        <v>4</v>
      </c>
      <c r="F129" s="8">
        <v>5</v>
      </c>
      <c r="G129" s="66" t="s">
        <v>410</v>
      </c>
      <c r="H129" s="5" t="s">
        <v>280</v>
      </c>
      <c r="I129" s="28" t="s">
        <v>3</v>
      </c>
      <c r="J129" s="224"/>
      <c r="K129" s="224"/>
      <c r="L129" s="224">
        <f>'Dados Detalhados'!$L$1204</f>
        <v>1423.33</v>
      </c>
      <c r="M129" s="78">
        <f t="shared" si="7"/>
        <v>1423.33</v>
      </c>
      <c r="N129" s="78">
        <f t="shared" si="8"/>
        <v>1423.33</v>
      </c>
      <c r="O129" s="78"/>
      <c r="P129" s="78"/>
      <c r="Q129" s="78"/>
      <c r="R129" s="78"/>
      <c r="S129" s="78"/>
      <c r="T129" s="78"/>
    </row>
    <row r="130" spans="1:20" ht="52.5" customHeight="1">
      <c r="A130" s="12">
        <v>122</v>
      </c>
      <c r="B130" s="11" t="s">
        <v>15</v>
      </c>
      <c r="C130" s="11" t="s">
        <v>14</v>
      </c>
      <c r="D130" s="6">
        <v>1</v>
      </c>
      <c r="E130" s="8" t="s">
        <v>4</v>
      </c>
      <c r="F130" s="8">
        <v>5</v>
      </c>
      <c r="G130" s="66" t="s">
        <v>410</v>
      </c>
      <c r="H130" s="5" t="s">
        <v>279</v>
      </c>
      <c r="I130" s="28" t="s">
        <v>3</v>
      </c>
      <c r="J130" s="48"/>
      <c r="K130" s="48"/>
      <c r="L130" s="48">
        <f>'Dados Detalhados'!$L$1205</f>
        <v>747.33</v>
      </c>
      <c r="M130" s="78">
        <f t="shared" si="7"/>
        <v>747.33</v>
      </c>
      <c r="N130" s="78"/>
      <c r="O130" s="78"/>
      <c r="P130" s="78"/>
      <c r="Q130" s="78"/>
      <c r="R130" s="78">
        <f t="shared" si="11"/>
        <v>747.33</v>
      </c>
      <c r="S130" s="78"/>
      <c r="T130" s="78"/>
    </row>
    <row r="131" spans="1:20" ht="52.5" customHeight="1">
      <c r="A131" s="12">
        <v>123</v>
      </c>
      <c r="B131" s="11" t="s">
        <v>13</v>
      </c>
      <c r="C131" s="11" t="s">
        <v>12</v>
      </c>
      <c r="D131" s="6">
        <v>1</v>
      </c>
      <c r="E131" s="8" t="s">
        <v>4</v>
      </c>
      <c r="F131" s="8">
        <v>5</v>
      </c>
      <c r="G131" s="66" t="s">
        <v>407</v>
      </c>
      <c r="H131" s="9"/>
      <c r="I131" s="28" t="s">
        <v>3</v>
      </c>
      <c r="J131" s="42"/>
      <c r="K131" s="42"/>
      <c r="L131" s="42">
        <f>'Dados Detalhados'!$L$1208</f>
        <v>0</v>
      </c>
      <c r="M131" s="78">
        <f t="shared" si="7"/>
        <v>0</v>
      </c>
      <c r="N131" s="78">
        <f t="shared" si="8"/>
        <v>0</v>
      </c>
      <c r="O131" s="78">
        <f t="shared" si="12"/>
        <v>0</v>
      </c>
      <c r="P131" s="78">
        <f t="shared" si="13"/>
        <v>0</v>
      </c>
      <c r="Q131" s="78">
        <f t="shared" si="10"/>
        <v>0</v>
      </c>
      <c r="R131" s="78">
        <f t="shared" si="11"/>
        <v>0</v>
      </c>
      <c r="S131" s="78"/>
      <c r="T131" s="78">
        <f t="shared" si="9"/>
        <v>0</v>
      </c>
    </row>
    <row r="132" spans="1:20" ht="52.5" customHeight="1">
      <c r="A132" s="12">
        <v>124</v>
      </c>
      <c r="B132" s="11" t="s">
        <v>11</v>
      </c>
      <c r="C132" s="11" t="s">
        <v>10</v>
      </c>
      <c r="D132" s="6">
        <v>2</v>
      </c>
      <c r="E132" s="8" t="s">
        <v>4</v>
      </c>
      <c r="F132" s="8">
        <v>5</v>
      </c>
      <c r="G132" s="66" t="s">
        <v>410</v>
      </c>
      <c r="H132" s="9"/>
      <c r="I132" s="28" t="s">
        <v>3</v>
      </c>
      <c r="J132" s="42"/>
      <c r="K132" s="42"/>
      <c r="L132" s="42">
        <f>'Dados Detalhados'!$L$1210</f>
        <v>0</v>
      </c>
      <c r="M132" s="78">
        <f t="shared" si="7"/>
        <v>0</v>
      </c>
      <c r="N132" s="78">
        <f t="shared" si="8"/>
        <v>0</v>
      </c>
      <c r="O132" s="78">
        <f t="shared" si="12"/>
        <v>0</v>
      </c>
      <c r="P132" s="78">
        <f t="shared" si="13"/>
        <v>0</v>
      </c>
      <c r="Q132" s="78">
        <f t="shared" si="10"/>
        <v>0</v>
      </c>
      <c r="R132" s="78">
        <f t="shared" si="11"/>
        <v>0</v>
      </c>
      <c r="S132" s="78"/>
      <c r="T132" s="78">
        <f t="shared" si="9"/>
        <v>0</v>
      </c>
    </row>
    <row r="133" spans="1:20" ht="52.5" customHeight="1">
      <c r="A133" s="12">
        <v>125</v>
      </c>
      <c r="B133" s="11" t="s">
        <v>9</v>
      </c>
      <c r="C133" s="11" t="s">
        <v>8</v>
      </c>
      <c r="D133" s="6">
        <v>1</v>
      </c>
      <c r="E133" s="8" t="s">
        <v>4</v>
      </c>
      <c r="F133" s="8">
        <v>5</v>
      </c>
      <c r="G133" s="66" t="s">
        <v>402</v>
      </c>
      <c r="H133" s="9"/>
      <c r="I133" s="28" t="s">
        <v>3</v>
      </c>
      <c r="J133" s="224"/>
      <c r="K133" s="42"/>
      <c r="L133" s="42">
        <f>'Dados Detalhados'!$L$1217</f>
        <v>0</v>
      </c>
      <c r="M133" s="78">
        <f t="shared" si="7"/>
        <v>0</v>
      </c>
      <c r="N133" s="78">
        <f t="shared" si="8"/>
        <v>0</v>
      </c>
      <c r="O133" s="78"/>
      <c r="P133" s="78"/>
      <c r="Q133" s="78"/>
      <c r="R133" s="78"/>
      <c r="S133" s="78"/>
      <c r="T133" s="78"/>
    </row>
    <row r="134" spans="1:20" ht="61.5" customHeight="1">
      <c r="A134" s="12">
        <v>126</v>
      </c>
      <c r="B134" s="11" t="s">
        <v>7</v>
      </c>
      <c r="C134" s="11" t="s">
        <v>364</v>
      </c>
      <c r="D134" s="6">
        <v>1</v>
      </c>
      <c r="E134" s="8" t="s">
        <v>4</v>
      </c>
      <c r="F134" s="8">
        <v>5</v>
      </c>
      <c r="G134" s="66" t="s">
        <v>402</v>
      </c>
      <c r="H134" s="9"/>
      <c r="I134" s="28" t="s">
        <v>3</v>
      </c>
      <c r="J134" s="224"/>
      <c r="K134" s="43"/>
      <c r="L134" s="43">
        <v>0</v>
      </c>
      <c r="M134" s="78">
        <f t="shared" ref="M134:M159" si="14">+J134+K134+L134</f>
        <v>0</v>
      </c>
      <c r="N134" s="78">
        <f t="shared" si="8"/>
        <v>0</v>
      </c>
      <c r="O134" s="78"/>
      <c r="P134" s="78"/>
      <c r="Q134" s="78"/>
      <c r="R134" s="78"/>
      <c r="S134" s="78"/>
      <c r="T134" s="78"/>
    </row>
    <row r="135" spans="1:20" ht="52.5" customHeight="1">
      <c r="A135" s="12">
        <v>127</v>
      </c>
      <c r="B135" s="11" t="s">
        <v>6</v>
      </c>
      <c r="C135" s="52" t="s">
        <v>386</v>
      </c>
      <c r="D135" s="6">
        <v>1</v>
      </c>
      <c r="E135" s="33" t="s">
        <v>4</v>
      </c>
      <c r="F135" s="8">
        <v>5</v>
      </c>
      <c r="G135" s="66" t="s">
        <v>410</v>
      </c>
      <c r="H135" s="55"/>
      <c r="I135" s="50" t="s">
        <v>3</v>
      </c>
      <c r="J135" s="236"/>
      <c r="K135" s="236"/>
      <c r="L135" s="236">
        <f>'Dados Detalhados'!$L$1234</f>
        <v>152.30000000000001</v>
      </c>
      <c r="M135" s="78">
        <f t="shared" si="14"/>
        <v>152.30000000000001</v>
      </c>
      <c r="N135" s="78"/>
      <c r="O135" s="78"/>
      <c r="P135" s="78"/>
      <c r="Q135" s="78"/>
      <c r="R135" s="78">
        <f t="shared" ref="R135:R151" si="15">+M135</f>
        <v>152.30000000000001</v>
      </c>
      <c r="S135" s="78"/>
      <c r="T135" s="78"/>
    </row>
    <row r="136" spans="1:20" ht="52.5" customHeight="1">
      <c r="A136" s="12">
        <v>128</v>
      </c>
      <c r="B136" s="11" t="s">
        <v>5</v>
      </c>
      <c r="C136" s="52" t="s">
        <v>373</v>
      </c>
      <c r="D136" s="56">
        <v>1</v>
      </c>
      <c r="E136" s="33" t="s">
        <v>4</v>
      </c>
      <c r="F136" s="8">
        <v>5</v>
      </c>
      <c r="G136" s="66" t="s">
        <v>410</v>
      </c>
      <c r="H136" s="55"/>
      <c r="I136" s="50" t="s">
        <v>3</v>
      </c>
      <c r="J136" s="237"/>
      <c r="K136" s="69"/>
      <c r="L136" s="69">
        <f>'Dados Detalhados'!$L$1241</f>
        <v>0</v>
      </c>
      <c r="M136" s="78">
        <f t="shared" si="14"/>
        <v>0</v>
      </c>
      <c r="N136" s="78">
        <f t="shared" ref="N136:N157" si="16">+M136</f>
        <v>0</v>
      </c>
      <c r="O136" s="78"/>
      <c r="P136" s="78"/>
      <c r="Q136" s="78"/>
      <c r="R136" s="78"/>
      <c r="S136" s="78"/>
      <c r="T136" s="78"/>
    </row>
    <row r="137" spans="1:20" ht="52.5" customHeight="1">
      <c r="A137" s="12">
        <v>129</v>
      </c>
      <c r="B137" s="11" t="s">
        <v>341</v>
      </c>
      <c r="C137" s="52" t="s">
        <v>374</v>
      </c>
      <c r="D137" s="56">
        <v>2</v>
      </c>
      <c r="E137" s="33" t="s">
        <v>4</v>
      </c>
      <c r="F137" s="8">
        <v>5</v>
      </c>
      <c r="G137" s="66" t="s">
        <v>407</v>
      </c>
      <c r="H137" s="55"/>
      <c r="I137" s="50" t="s">
        <v>3</v>
      </c>
      <c r="J137" s="69"/>
      <c r="K137" s="69"/>
      <c r="L137" s="69">
        <f>'Dados Detalhados'!$L$1251</f>
        <v>0</v>
      </c>
      <c r="M137" s="78">
        <f t="shared" si="14"/>
        <v>0</v>
      </c>
      <c r="N137" s="78"/>
      <c r="O137" s="78"/>
      <c r="P137" s="78"/>
      <c r="Q137" s="78"/>
      <c r="R137" s="78"/>
      <c r="S137" s="78"/>
      <c r="T137" s="78">
        <f t="shared" si="9"/>
        <v>0</v>
      </c>
    </row>
    <row r="138" spans="1:20" ht="52.5" customHeight="1">
      <c r="A138" s="12">
        <v>130</v>
      </c>
      <c r="B138" s="11" t="s">
        <v>342</v>
      </c>
      <c r="C138" s="52" t="s">
        <v>375</v>
      </c>
      <c r="D138" s="56">
        <v>1</v>
      </c>
      <c r="E138" s="33" t="s">
        <v>4</v>
      </c>
      <c r="F138" s="8">
        <v>5</v>
      </c>
      <c r="G138" s="66" t="s">
        <v>407</v>
      </c>
      <c r="H138" s="55"/>
      <c r="I138" s="50" t="s">
        <v>3</v>
      </c>
      <c r="J138" s="236"/>
      <c r="K138" s="236"/>
      <c r="L138" s="236">
        <f>'Dados Detalhados'!$L$1272</f>
        <v>750</v>
      </c>
      <c r="M138" s="78">
        <f t="shared" si="14"/>
        <v>750</v>
      </c>
      <c r="N138" s="78"/>
      <c r="O138" s="78"/>
      <c r="P138" s="78"/>
      <c r="Q138" s="78"/>
      <c r="R138" s="78">
        <f t="shared" si="15"/>
        <v>750</v>
      </c>
      <c r="S138" s="78"/>
      <c r="T138" s="78"/>
    </row>
    <row r="139" spans="1:20" ht="52.5" customHeight="1">
      <c r="A139" s="12">
        <v>131</v>
      </c>
      <c r="B139" s="11" t="s">
        <v>343</v>
      </c>
      <c r="C139" s="52" t="s">
        <v>376</v>
      </c>
      <c r="D139" s="56">
        <v>1</v>
      </c>
      <c r="E139" s="33" t="s">
        <v>4</v>
      </c>
      <c r="F139" s="8">
        <v>5</v>
      </c>
      <c r="G139" s="66" t="s">
        <v>402</v>
      </c>
      <c r="H139" s="55"/>
      <c r="I139" s="50" t="s">
        <v>3</v>
      </c>
      <c r="J139" s="69"/>
      <c r="K139" s="69"/>
      <c r="L139" s="69">
        <f>'Dados Detalhados'!$L$1278</f>
        <v>0</v>
      </c>
      <c r="M139" s="78">
        <f t="shared" si="14"/>
        <v>0</v>
      </c>
      <c r="N139" s="78">
        <f t="shared" si="16"/>
        <v>0</v>
      </c>
      <c r="O139" s="78">
        <f t="shared" ref="O139:O151" si="17">+M139</f>
        <v>0</v>
      </c>
      <c r="P139" s="78">
        <f t="shared" ref="P139:P159" si="18">+M139</f>
        <v>0</v>
      </c>
      <c r="Q139" s="78">
        <f t="shared" ref="Q139:Q151" si="19">+M139</f>
        <v>0</v>
      </c>
      <c r="R139" s="78">
        <f t="shared" si="15"/>
        <v>0</v>
      </c>
      <c r="S139" s="78"/>
      <c r="T139" s="78">
        <f t="shared" si="9"/>
        <v>0</v>
      </c>
    </row>
    <row r="140" spans="1:20" ht="52.5" customHeight="1">
      <c r="A140" s="12">
        <v>132</v>
      </c>
      <c r="B140" s="11" t="s">
        <v>344</v>
      </c>
      <c r="C140" s="52" t="s">
        <v>385</v>
      </c>
      <c r="D140" s="56">
        <v>1</v>
      </c>
      <c r="E140" s="33" t="s">
        <v>4</v>
      </c>
      <c r="F140" s="8">
        <v>5</v>
      </c>
      <c r="G140" s="66" t="s">
        <v>402</v>
      </c>
      <c r="H140" s="55"/>
      <c r="I140" s="50" t="s">
        <v>3</v>
      </c>
      <c r="J140" s="237"/>
      <c r="K140" s="237"/>
      <c r="L140" s="237">
        <f>'Dados Detalhados'!$L$1284</f>
        <v>6103.6111111111113</v>
      </c>
      <c r="M140" s="78">
        <f t="shared" si="14"/>
        <v>6103.6111111111113</v>
      </c>
      <c r="N140" s="78">
        <f t="shared" si="16"/>
        <v>6103.6111111111113</v>
      </c>
      <c r="O140" s="78"/>
      <c r="P140" s="78"/>
      <c r="Q140" s="78"/>
      <c r="R140" s="78"/>
      <c r="S140" s="78"/>
      <c r="T140" s="78"/>
    </row>
    <row r="141" spans="1:20" ht="52.5" customHeight="1">
      <c r="A141" s="12">
        <v>133</v>
      </c>
      <c r="B141" s="11" t="s">
        <v>345</v>
      </c>
      <c r="C141" s="52" t="s">
        <v>377</v>
      </c>
      <c r="D141" s="56">
        <v>1</v>
      </c>
      <c r="E141" s="33" t="s">
        <v>4</v>
      </c>
      <c r="F141" s="8">
        <v>5</v>
      </c>
      <c r="G141" s="66" t="s">
        <v>402</v>
      </c>
      <c r="H141" s="55"/>
      <c r="I141" s="50" t="s">
        <v>3</v>
      </c>
      <c r="J141" s="69"/>
      <c r="K141" s="69"/>
      <c r="L141" s="69">
        <f>'Dados Detalhados'!$L$1291</f>
        <v>0</v>
      </c>
      <c r="M141" s="78">
        <f t="shared" si="14"/>
        <v>0</v>
      </c>
      <c r="N141" s="78">
        <f t="shared" si="16"/>
        <v>0</v>
      </c>
      <c r="O141" s="78">
        <f t="shared" si="17"/>
        <v>0</v>
      </c>
      <c r="P141" s="78">
        <f t="shared" si="18"/>
        <v>0</v>
      </c>
      <c r="Q141" s="78">
        <f t="shared" si="19"/>
        <v>0</v>
      </c>
      <c r="R141" s="78">
        <f t="shared" si="15"/>
        <v>0</v>
      </c>
      <c r="S141" s="78"/>
      <c r="T141" s="78">
        <f t="shared" ref="T141:T158" si="20">+M141</f>
        <v>0</v>
      </c>
    </row>
    <row r="142" spans="1:20" ht="52.5" customHeight="1">
      <c r="A142" s="12">
        <v>134</v>
      </c>
      <c r="B142" s="11" t="s">
        <v>346</v>
      </c>
      <c r="C142" s="52" t="s">
        <v>378</v>
      </c>
      <c r="D142" s="56">
        <v>1</v>
      </c>
      <c r="E142" s="33" t="s">
        <v>4</v>
      </c>
      <c r="F142" s="8">
        <v>5</v>
      </c>
      <c r="G142" s="66" t="s">
        <v>402</v>
      </c>
      <c r="H142" s="55"/>
      <c r="I142" s="50" t="s">
        <v>3</v>
      </c>
      <c r="J142" s="236"/>
      <c r="K142" s="236"/>
      <c r="L142" s="236">
        <f>'Dados Detalhados'!$L$1297</f>
        <v>319.44444444444446</v>
      </c>
      <c r="M142" s="78">
        <f t="shared" si="14"/>
        <v>319.44444444444446</v>
      </c>
      <c r="N142" s="78"/>
      <c r="O142" s="78"/>
      <c r="P142" s="78"/>
      <c r="Q142" s="78"/>
      <c r="R142" s="78">
        <f t="shared" si="15"/>
        <v>319.44444444444446</v>
      </c>
      <c r="S142" s="78"/>
      <c r="T142" s="78"/>
    </row>
    <row r="143" spans="1:20" s="4" customFormat="1" ht="52.5" customHeight="1">
      <c r="A143" s="12">
        <v>135</v>
      </c>
      <c r="B143" s="11" t="s">
        <v>347</v>
      </c>
      <c r="C143" s="52" t="s">
        <v>379</v>
      </c>
      <c r="D143" s="56">
        <v>1</v>
      </c>
      <c r="E143" s="33" t="s">
        <v>4</v>
      </c>
      <c r="F143" s="8">
        <v>5</v>
      </c>
      <c r="G143" s="66" t="s">
        <v>402</v>
      </c>
      <c r="H143" s="55"/>
      <c r="I143" s="50" t="s">
        <v>3</v>
      </c>
      <c r="J143" s="236"/>
      <c r="K143" s="236"/>
      <c r="L143" s="236">
        <f>'Dados Detalhados'!$L$1309</f>
        <v>4608</v>
      </c>
      <c r="M143" s="78">
        <f t="shared" si="14"/>
        <v>4608</v>
      </c>
      <c r="N143" s="78"/>
      <c r="O143" s="78"/>
      <c r="P143" s="78"/>
      <c r="Q143" s="78"/>
      <c r="R143" s="78">
        <f t="shared" si="15"/>
        <v>4608</v>
      </c>
      <c r="S143" s="78"/>
      <c r="T143" s="78"/>
    </row>
    <row r="144" spans="1:20" s="4" customFormat="1" ht="61.5" customHeight="1">
      <c r="A144" s="12">
        <v>136</v>
      </c>
      <c r="B144" s="11" t="s">
        <v>348</v>
      </c>
      <c r="C144" s="52" t="s">
        <v>384</v>
      </c>
      <c r="D144" s="56">
        <v>1</v>
      </c>
      <c r="E144" s="33" t="s">
        <v>4</v>
      </c>
      <c r="F144" s="8">
        <v>5</v>
      </c>
      <c r="G144" s="66" t="s">
        <v>409</v>
      </c>
      <c r="H144" s="5" t="s">
        <v>282</v>
      </c>
      <c r="I144" s="50" t="s">
        <v>3</v>
      </c>
      <c r="J144" s="237"/>
      <c r="K144" s="237"/>
      <c r="L144" s="237">
        <f>'Dados Detalhados'!$L$1316</f>
        <v>2780.3</v>
      </c>
      <c r="M144" s="78">
        <f t="shared" si="14"/>
        <v>2780.3</v>
      </c>
      <c r="N144" s="78">
        <f t="shared" si="16"/>
        <v>2780.3</v>
      </c>
      <c r="O144" s="78"/>
      <c r="P144" s="78"/>
      <c r="Q144" s="78"/>
      <c r="R144" s="78"/>
      <c r="S144" s="78"/>
      <c r="T144" s="78"/>
    </row>
    <row r="145" spans="1:20" s="4" customFormat="1" ht="52.5" customHeight="1">
      <c r="A145" s="12">
        <v>137</v>
      </c>
      <c r="B145" s="11" t="s">
        <v>349</v>
      </c>
      <c r="C145" s="52" t="s">
        <v>380</v>
      </c>
      <c r="D145" s="56">
        <v>1</v>
      </c>
      <c r="E145" s="33" t="s">
        <v>4</v>
      </c>
      <c r="F145" s="8">
        <v>5</v>
      </c>
      <c r="G145" s="66" t="s">
        <v>402</v>
      </c>
      <c r="H145" s="55"/>
      <c r="I145" s="50" t="s">
        <v>3</v>
      </c>
      <c r="J145" s="237"/>
      <c r="K145" s="237"/>
      <c r="L145" s="237">
        <f>'Dados Detalhados'!$L$1322</f>
        <v>5584.7</v>
      </c>
      <c r="M145" s="78">
        <f t="shared" si="14"/>
        <v>5584.7</v>
      </c>
      <c r="N145" s="78">
        <f t="shared" si="16"/>
        <v>5584.7</v>
      </c>
      <c r="O145" s="78"/>
      <c r="P145" s="78"/>
      <c r="Q145" s="78"/>
      <c r="R145" s="78"/>
      <c r="S145" s="78"/>
      <c r="T145" s="78"/>
    </row>
    <row r="146" spans="1:20" s="4" customFormat="1" ht="52.5" customHeight="1">
      <c r="A146" s="12">
        <v>138</v>
      </c>
      <c r="B146" s="11" t="s">
        <v>350</v>
      </c>
      <c r="C146" s="52" t="s">
        <v>381</v>
      </c>
      <c r="D146" s="56">
        <v>1</v>
      </c>
      <c r="E146" s="33" t="s">
        <v>4</v>
      </c>
      <c r="F146" s="8">
        <v>5</v>
      </c>
      <c r="G146" s="66" t="s">
        <v>410</v>
      </c>
      <c r="H146" s="55"/>
      <c r="I146" s="50" t="s">
        <v>3</v>
      </c>
      <c r="J146" s="69"/>
      <c r="K146" s="69"/>
      <c r="L146" s="69">
        <f>'Dados Detalhados'!$L$1328</f>
        <v>0</v>
      </c>
      <c r="M146" s="78">
        <f t="shared" si="14"/>
        <v>0</v>
      </c>
      <c r="N146" s="78"/>
      <c r="O146" s="78"/>
      <c r="P146" s="78"/>
      <c r="Q146" s="78"/>
      <c r="R146" s="78"/>
      <c r="S146" s="78"/>
      <c r="T146" s="78">
        <f t="shared" si="20"/>
        <v>0</v>
      </c>
    </row>
    <row r="147" spans="1:20" s="4" customFormat="1" ht="52.5" customHeight="1">
      <c r="A147" s="12">
        <v>139</v>
      </c>
      <c r="B147" s="11" t="s">
        <v>351</v>
      </c>
      <c r="C147" s="52" t="s">
        <v>382</v>
      </c>
      <c r="D147" s="56">
        <v>2</v>
      </c>
      <c r="E147" s="33" t="s">
        <v>4</v>
      </c>
      <c r="F147" s="8">
        <v>5</v>
      </c>
      <c r="G147" s="66" t="s">
        <v>410</v>
      </c>
      <c r="H147" s="55"/>
      <c r="I147" s="50" t="s">
        <v>3</v>
      </c>
      <c r="J147" s="69"/>
      <c r="K147" s="69"/>
      <c r="L147" s="69">
        <f>'Dados Detalhados'!$L$1334</f>
        <v>0</v>
      </c>
      <c r="M147" s="78">
        <f t="shared" si="14"/>
        <v>0</v>
      </c>
      <c r="N147" s="78"/>
      <c r="O147" s="78"/>
      <c r="P147" s="78"/>
      <c r="Q147" s="78"/>
      <c r="R147" s="78"/>
      <c r="S147" s="78"/>
      <c r="T147" s="78">
        <f t="shared" si="20"/>
        <v>0</v>
      </c>
    </row>
    <row r="148" spans="1:20" s="4" customFormat="1" ht="52.5" customHeight="1">
      <c r="A148" s="12">
        <v>140</v>
      </c>
      <c r="B148" s="11" t="s">
        <v>352</v>
      </c>
      <c r="C148" s="52" t="s">
        <v>383</v>
      </c>
      <c r="D148" s="56">
        <v>3</v>
      </c>
      <c r="E148" s="33" t="s">
        <v>4</v>
      </c>
      <c r="F148" s="8">
        <v>5</v>
      </c>
      <c r="G148" s="66" t="s">
        <v>410</v>
      </c>
      <c r="H148" s="55"/>
      <c r="I148" s="50" t="s">
        <v>3</v>
      </c>
      <c r="J148" s="236"/>
      <c r="K148" s="236"/>
      <c r="L148" s="236">
        <f>'Dados Detalhados'!$L$1213</f>
        <v>0</v>
      </c>
      <c r="M148" s="78">
        <f t="shared" si="14"/>
        <v>0</v>
      </c>
      <c r="N148" s="78"/>
      <c r="O148" s="78"/>
      <c r="P148" s="78"/>
      <c r="Q148" s="78"/>
      <c r="R148" s="78">
        <f t="shared" si="15"/>
        <v>0</v>
      </c>
      <c r="S148" s="78"/>
      <c r="T148" s="78"/>
    </row>
    <row r="149" spans="1:20" s="4" customFormat="1" ht="52.5" customHeight="1">
      <c r="A149" s="12">
        <v>141</v>
      </c>
      <c r="B149" s="11" t="s">
        <v>353</v>
      </c>
      <c r="C149" s="52" t="s">
        <v>369</v>
      </c>
      <c r="D149" s="56">
        <v>1</v>
      </c>
      <c r="E149" s="33" t="s">
        <v>4</v>
      </c>
      <c r="F149" s="8">
        <v>5</v>
      </c>
      <c r="G149" s="66" t="s">
        <v>410</v>
      </c>
      <c r="H149" s="55"/>
      <c r="I149" s="50"/>
      <c r="J149" s="237"/>
      <c r="K149" s="69"/>
      <c r="L149" s="69">
        <f>'Dados Detalhados'!$L$1363</f>
        <v>0</v>
      </c>
      <c r="M149" s="78">
        <f t="shared" si="14"/>
        <v>0</v>
      </c>
      <c r="N149" s="78">
        <f t="shared" si="16"/>
        <v>0</v>
      </c>
      <c r="O149" s="78"/>
      <c r="P149" s="78"/>
      <c r="Q149" s="78"/>
      <c r="R149" s="78"/>
      <c r="S149" s="78"/>
      <c r="T149" s="78"/>
    </row>
    <row r="150" spans="1:20" s="4" customFormat="1" ht="52.5" customHeight="1">
      <c r="A150" s="12">
        <v>142</v>
      </c>
      <c r="B150" s="11" t="s">
        <v>354</v>
      </c>
      <c r="C150" s="52" t="s">
        <v>372</v>
      </c>
      <c r="D150" s="56">
        <v>1</v>
      </c>
      <c r="E150" s="33" t="s">
        <v>4</v>
      </c>
      <c r="F150" s="8">
        <v>5</v>
      </c>
      <c r="G150" s="66" t="s">
        <v>410</v>
      </c>
      <c r="H150" s="55"/>
      <c r="I150" s="50" t="s">
        <v>3</v>
      </c>
      <c r="J150" s="69"/>
      <c r="K150" s="69"/>
      <c r="L150" s="69">
        <f>'Dados Detalhados'!$L$1391</f>
        <v>0</v>
      </c>
      <c r="M150" s="78">
        <f t="shared" si="14"/>
        <v>0</v>
      </c>
      <c r="N150" s="78"/>
      <c r="O150" s="78"/>
      <c r="P150" s="78">
        <f t="shared" si="18"/>
        <v>0</v>
      </c>
      <c r="Q150" s="78"/>
      <c r="R150" s="78"/>
      <c r="S150" s="78"/>
      <c r="T150" s="78"/>
    </row>
    <row r="151" spans="1:20" s="4" customFormat="1" ht="52.5" customHeight="1">
      <c r="A151" s="12">
        <v>143</v>
      </c>
      <c r="B151" s="11" t="s">
        <v>355</v>
      </c>
      <c r="C151" s="52" t="s">
        <v>371</v>
      </c>
      <c r="D151" s="56">
        <v>1</v>
      </c>
      <c r="E151" s="33" t="s">
        <v>4</v>
      </c>
      <c r="F151" s="8">
        <v>5</v>
      </c>
      <c r="G151" s="66" t="s">
        <v>410</v>
      </c>
      <c r="H151" s="55"/>
      <c r="I151" s="50" t="s">
        <v>3</v>
      </c>
      <c r="J151" s="69"/>
      <c r="K151" s="69"/>
      <c r="L151" s="69">
        <f>'Dados Detalhados'!$L$1397</f>
        <v>0</v>
      </c>
      <c r="M151" s="78">
        <f t="shared" si="14"/>
        <v>0</v>
      </c>
      <c r="N151" s="78">
        <f t="shared" si="16"/>
        <v>0</v>
      </c>
      <c r="O151" s="78">
        <f t="shared" si="17"/>
        <v>0</v>
      </c>
      <c r="P151" s="78">
        <f t="shared" si="18"/>
        <v>0</v>
      </c>
      <c r="Q151" s="78">
        <f t="shared" si="19"/>
        <v>0</v>
      </c>
      <c r="R151" s="78">
        <f t="shared" si="15"/>
        <v>0</v>
      </c>
      <c r="S151" s="78"/>
      <c r="T151" s="78">
        <f t="shared" si="20"/>
        <v>0</v>
      </c>
    </row>
    <row r="152" spans="1:20" s="4" customFormat="1" ht="52.5" customHeight="1">
      <c r="A152" s="12">
        <v>144</v>
      </c>
      <c r="B152" s="11" t="s">
        <v>356</v>
      </c>
      <c r="C152" s="52" t="s">
        <v>370</v>
      </c>
      <c r="D152" s="56">
        <v>1</v>
      </c>
      <c r="E152" s="33" t="s">
        <v>4</v>
      </c>
      <c r="F152" s="8">
        <v>5</v>
      </c>
      <c r="G152" s="66" t="s">
        <v>410</v>
      </c>
      <c r="H152" s="55"/>
      <c r="I152" s="50" t="s">
        <v>3</v>
      </c>
      <c r="J152" s="69"/>
      <c r="K152" s="69"/>
      <c r="L152" s="69">
        <f>'Dados Detalhados'!$L$1403</f>
        <v>0</v>
      </c>
      <c r="M152" s="78">
        <f t="shared" si="14"/>
        <v>0</v>
      </c>
      <c r="N152" s="78"/>
      <c r="O152" s="78"/>
      <c r="P152" s="78"/>
      <c r="Q152" s="78"/>
      <c r="R152" s="78"/>
      <c r="S152" s="78"/>
      <c r="T152" s="78">
        <f t="shared" si="20"/>
        <v>0</v>
      </c>
    </row>
    <row r="153" spans="1:20" s="4" customFormat="1" ht="52.5" customHeight="1">
      <c r="A153" s="12">
        <v>145</v>
      </c>
      <c r="B153" s="11" t="s">
        <v>357</v>
      </c>
      <c r="C153" s="64" t="s">
        <v>394</v>
      </c>
      <c r="D153" s="56">
        <v>1</v>
      </c>
      <c r="E153" s="33" t="s">
        <v>4</v>
      </c>
      <c r="F153" s="8">
        <v>5</v>
      </c>
      <c r="G153" s="66" t="s">
        <v>410</v>
      </c>
      <c r="H153" s="55"/>
      <c r="I153" s="50" t="s">
        <v>368</v>
      </c>
      <c r="J153" s="238"/>
      <c r="K153" s="69"/>
      <c r="L153" s="69">
        <f>'Dados Detalhados'!$L$1409</f>
        <v>0</v>
      </c>
      <c r="M153" s="78">
        <f t="shared" si="14"/>
        <v>0</v>
      </c>
      <c r="N153" s="78"/>
      <c r="O153" s="78"/>
      <c r="P153" s="78">
        <f t="shared" si="18"/>
        <v>0</v>
      </c>
      <c r="Q153" s="78"/>
      <c r="R153" s="78"/>
      <c r="S153" s="78"/>
      <c r="T153" s="78"/>
    </row>
    <row r="154" spans="1:20" s="4" customFormat="1" ht="52.5" customHeight="1">
      <c r="A154" s="12">
        <v>146</v>
      </c>
      <c r="B154" s="11" t="s">
        <v>358</v>
      </c>
      <c r="C154" s="1" t="s">
        <v>367</v>
      </c>
      <c r="D154" s="56">
        <v>1</v>
      </c>
      <c r="E154" s="33" t="s">
        <v>4</v>
      </c>
      <c r="F154" s="8">
        <v>5</v>
      </c>
      <c r="G154" s="66" t="s">
        <v>408</v>
      </c>
      <c r="H154" s="55"/>
      <c r="I154" s="50" t="s">
        <v>3</v>
      </c>
      <c r="J154" s="237"/>
      <c r="K154" s="237"/>
      <c r="L154" s="237">
        <f>'Dados Detalhados'!$L$1442</f>
        <v>24512.5</v>
      </c>
      <c r="M154" s="78">
        <f t="shared" si="14"/>
        <v>24512.5</v>
      </c>
      <c r="N154" s="78">
        <f t="shared" si="16"/>
        <v>24512.5</v>
      </c>
      <c r="O154" s="78"/>
      <c r="P154" s="78"/>
      <c r="Q154" s="78"/>
      <c r="R154" s="78"/>
      <c r="S154" s="78"/>
      <c r="T154" s="78"/>
    </row>
    <row r="155" spans="1:20" s="4" customFormat="1" ht="52.5" customHeight="1">
      <c r="A155" s="12">
        <v>147</v>
      </c>
      <c r="B155" s="11" t="s">
        <v>359</v>
      </c>
      <c r="C155" s="1" t="s">
        <v>366</v>
      </c>
      <c r="D155" s="56">
        <v>1</v>
      </c>
      <c r="E155" s="33" t="s">
        <v>4</v>
      </c>
      <c r="F155" s="8">
        <v>5</v>
      </c>
      <c r="G155" s="66" t="s">
        <v>408</v>
      </c>
      <c r="H155" s="55"/>
      <c r="I155" s="50" t="s">
        <v>3</v>
      </c>
      <c r="J155" s="237"/>
      <c r="K155" s="237"/>
      <c r="L155" s="69">
        <f>'Dados Detalhados'!$L$1468</f>
        <v>0</v>
      </c>
      <c r="M155" s="78">
        <f t="shared" si="14"/>
        <v>0</v>
      </c>
      <c r="N155" s="78">
        <f t="shared" si="16"/>
        <v>0</v>
      </c>
      <c r="O155" s="78"/>
      <c r="P155" s="78"/>
      <c r="Q155" s="78"/>
      <c r="R155" s="78"/>
      <c r="S155" s="78"/>
      <c r="T155" s="78"/>
    </row>
    <row r="156" spans="1:20" s="4" customFormat="1" ht="52.5" customHeight="1">
      <c r="A156" s="12">
        <v>148</v>
      </c>
      <c r="B156" s="11" t="s">
        <v>360</v>
      </c>
      <c r="C156" s="64" t="s">
        <v>395</v>
      </c>
      <c r="D156" s="56">
        <v>2</v>
      </c>
      <c r="E156" s="33" t="s">
        <v>4</v>
      </c>
      <c r="F156" s="8">
        <v>5</v>
      </c>
      <c r="G156" s="66" t="s">
        <v>408</v>
      </c>
      <c r="H156" s="55"/>
      <c r="I156" s="50" t="s">
        <v>3</v>
      </c>
      <c r="J156" s="69"/>
      <c r="K156" s="69"/>
      <c r="L156" s="69">
        <f>'Dados Detalhados'!$L$1489</f>
        <v>0</v>
      </c>
      <c r="M156" s="78">
        <f t="shared" si="14"/>
        <v>0</v>
      </c>
      <c r="N156" s="78"/>
      <c r="O156" s="78"/>
      <c r="P156" s="78"/>
      <c r="Q156" s="78"/>
      <c r="R156" s="78"/>
      <c r="S156" s="78"/>
      <c r="T156" s="78">
        <f t="shared" si="20"/>
        <v>0</v>
      </c>
    </row>
    <row r="157" spans="1:20" s="4" customFormat="1" ht="52.5" customHeight="1">
      <c r="A157" s="12">
        <v>149</v>
      </c>
      <c r="B157" s="11" t="s">
        <v>361</v>
      </c>
      <c r="C157" s="64" t="s">
        <v>396</v>
      </c>
      <c r="D157" s="56">
        <v>1</v>
      </c>
      <c r="E157" s="33" t="s">
        <v>4</v>
      </c>
      <c r="F157" s="8">
        <v>5</v>
      </c>
      <c r="G157" s="66" t="s">
        <v>409</v>
      </c>
      <c r="H157" s="55"/>
      <c r="I157" s="50" t="s">
        <v>3</v>
      </c>
      <c r="J157" s="69"/>
      <c r="K157" s="69"/>
      <c r="L157" s="69">
        <f>'Dados Detalhados'!$L$1495</f>
        <v>0</v>
      </c>
      <c r="M157" s="78">
        <f t="shared" si="14"/>
        <v>0</v>
      </c>
      <c r="N157" s="78">
        <f t="shared" si="16"/>
        <v>0</v>
      </c>
      <c r="O157" s="78"/>
      <c r="P157" s="78"/>
      <c r="Q157" s="78"/>
      <c r="R157" s="78"/>
      <c r="S157" s="78"/>
      <c r="T157" s="78"/>
    </row>
    <row r="158" spans="1:20" s="4" customFormat="1" ht="52.5" customHeight="1">
      <c r="A158" s="12">
        <v>150</v>
      </c>
      <c r="B158" s="11" t="s">
        <v>362</v>
      </c>
      <c r="C158" s="65" t="s">
        <v>391</v>
      </c>
      <c r="D158" s="56">
        <v>2</v>
      </c>
      <c r="E158" s="33" t="s">
        <v>4</v>
      </c>
      <c r="F158" s="8">
        <v>5</v>
      </c>
      <c r="G158" s="66" t="s">
        <v>410</v>
      </c>
      <c r="H158" s="55"/>
      <c r="I158" s="50" t="s">
        <v>3</v>
      </c>
      <c r="J158" s="69"/>
      <c r="K158" s="69"/>
      <c r="L158" s="69">
        <f>'Dados Detalhados'!$L$1501</f>
        <v>0</v>
      </c>
      <c r="M158" s="78">
        <f t="shared" si="14"/>
        <v>0</v>
      </c>
      <c r="N158" s="78"/>
      <c r="O158" s="78"/>
      <c r="P158" s="78"/>
      <c r="Q158" s="78"/>
      <c r="R158" s="78"/>
      <c r="S158" s="78"/>
      <c r="T158" s="78">
        <f t="shared" si="20"/>
        <v>0</v>
      </c>
    </row>
    <row r="159" spans="1:20" s="4" customFormat="1" ht="52.5" customHeight="1">
      <c r="A159" s="12">
        <v>151</v>
      </c>
      <c r="B159" s="11" t="s">
        <v>363</v>
      </c>
      <c r="C159" s="1" t="s">
        <v>365</v>
      </c>
      <c r="D159" s="56">
        <v>1</v>
      </c>
      <c r="E159" s="33" t="s">
        <v>4</v>
      </c>
      <c r="F159" s="8">
        <v>5</v>
      </c>
      <c r="G159" s="66" t="s">
        <v>410</v>
      </c>
      <c r="H159" s="55"/>
      <c r="I159" s="50" t="s">
        <v>3</v>
      </c>
      <c r="J159" s="69"/>
      <c r="K159" s="238"/>
      <c r="L159" s="69">
        <f>'Dados Detalhados'!$L$1507</f>
        <v>0</v>
      </c>
      <c r="M159" s="78">
        <f t="shared" si="14"/>
        <v>0</v>
      </c>
      <c r="N159" s="78"/>
      <c r="O159" s="78"/>
      <c r="P159" s="78">
        <f t="shared" si="18"/>
        <v>0</v>
      </c>
      <c r="Q159" s="78"/>
      <c r="R159" s="78"/>
      <c r="S159" s="78"/>
      <c r="T159" s="78"/>
    </row>
    <row r="160" spans="1:20" s="4" customFormat="1">
      <c r="A160" s="2"/>
      <c r="B160" s="2"/>
      <c r="D160" s="2"/>
      <c r="E160" s="2"/>
      <c r="F160" s="2"/>
      <c r="G160" s="2"/>
      <c r="H160" s="2"/>
      <c r="I160" s="2"/>
      <c r="J160" s="247">
        <f>SUM(J5:J159)</f>
        <v>0</v>
      </c>
      <c r="K160" s="247">
        <f>SUM(K5:K159)</f>
        <v>0</v>
      </c>
      <c r="L160" s="247">
        <f>SUM(L5:L159)</f>
        <v>495582.34435871302</v>
      </c>
      <c r="M160" s="247">
        <f t="shared" ref="M160:T160" si="21">SUM(M5:M159)</f>
        <v>495582.34435871302</v>
      </c>
      <c r="N160" s="63">
        <f t="shared" si="21"/>
        <v>353593.74111111119</v>
      </c>
      <c r="O160" s="63">
        <f t="shared" si="21"/>
        <v>0</v>
      </c>
      <c r="P160" s="63">
        <f t="shared" si="21"/>
        <v>0</v>
      </c>
      <c r="Q160" s="63">
        <f t="shared" si="21"/>
        <v>11954</v>
      </c>
      <c r="R160" s="63">
        <f t="shared" si="21"/>
        <v>102024.4632476019</v>
      </c>
      <c r="S160" s="63">
        <f t="shared" si="21"/>
        <v>0</v>
      </c>
      <c r="T160" s="63">
        <f t="shared" si="21"/>
        <v>28010.14</v>
      </c>
    </row>
    <row r="161" spans="1:20" s="4" customFormat="1" ht="15" customHeight="1">
      <c r="A161" s="2"/>
      <c r="B161" s="2"/>
      <c r="D161" s="2"/>
      <c r="E161" s="2"/>
      <c r="F161" s="2"/>
      <c r="G161" s="2"/>
      <c r="H161" s="251"/>
      <c r="I161" s="251"/>
      <c r="J161" s="251"/>
      <c r="K161" s="251"/>
      <c r="L161" s="251"/>
      <c r="M161" s="252"/>
      <c r="N161" s="2"/>
      <c r="O161" s="2"/>
      <c r="P161" s="2"/>
      <c r="Q161" s="2"/>
      <c r="R161" s="2"/>
      <c r="S161" s="2"/>
      <c r="T161" s="2"/>
    </row>
    <row r="162" spans="1:20" s="4" customFormat="1" ht="34.5" customHeight="1">
      <c r="A162" s="2"/>
      <c r="B162" s="2"/>
      <c r="D162" s="2"/>
      <c r="E162" s="2"/>
      <c r="F162" s="2"/>
      <c r="G162" s="2"/>
      <c r="H162" s="248"/>
      <c r="I162" s="248"/>
      <c r="J162" s="249"/>
      <c r="K162" s="249"/>
      <c r="L162" s="249"/>
      <c r="M162" s="250"/>
      <c r="N162" s="239"/>
      <c r="O162" s="2"/>
      <c r="P162" s="2"/>
      <c r="Q162" s="2"/>
      <c r="R162" s="2"/>
      <c r="S162" s="2"/>
      <c r="T162" s="2"/>
    </row>
    <row r="163" spans="1:20" ht="15" customHeight="1">
      <c r="J163" s="4"/>
      <c r="N163" s="239"/>
    </row>
    <row r="164" spans="1:20" s="3" customFormat="1" ht="18.75" customHeight="1">
      <c r="K164" s="2"/>
      <c r="L164" s="2"/>
      <c r="M164" s="2"/>
      <c r="N164" s="2"/>
      <c r="O164" s="2"/>
      <c r="P164" s="2"/>
      <c r="Q164" s="2"/>
      <c r="R164" s="2"/>
      <c r="S164" s="2"/>
      <c r="T164" s="2"/>
    </row>
    <row r="166" spans="1:20" s="3" customFormat="1" ht="15" customHeight="1">
      <c r="K166" s="2"/>
      <c r="L166" s="2"/>
      <c r="M166" s="2"/>
      <c r="N166" s="2"/>
      <c r="O166" s="2"/>
      <c r="P166" s="2"/>
      <c r="Q166" s="2"/>
      <c r="R166" s="2"/>
      <c r="S166" s="2"/>
      <c r="T166" s="2"/>
    </row>
  </sheetData>
  <mergeCells count="1">
    <mergeCell ref="N3:S3"/>
  </mergeCells>
  <pageMargins left="0.7" right="0.7" top="0.75" bottom="0.75" header="0.3" footer="0.3"/>
  <pageSetup paperSize="9" orientation="portrait" r:id="rId1"/>
  <legacyDrawing r:id="rId2"/>
</worksheet>
</file>

<file path=xl/worksheets/sheet19.xml><?xml version="1.0" encoding="utf-8"?>
<worksheet xmlns="http://schemas.openxmlformats.org/spreadsheetml/2006/main" xmlns:r="http://schemas.openxmlformats.org/officeDocument/2006/relationships">
  <dimension ref="A4:H41"/>
  <sheetViews>
    <sheetView topLeftCell="A19" zoomScaleNormal="100" workbookViewId="0">
      <selection activeCell="A30" sqref="A30"/>
    </sheetView>
  </sheetViews>
  <sheetFormatPr defaultRowHeight="15"/>
  <cols>
    <col min="1" max="1" width="42.85546875" customWidth="1"/>
    <col min="2" max="2" width="11.42578125" bestFit="1" customWidth="1"/>
    <col min="3" max="3" width="8.5703125" customWidth="1"/>
    <col min="4" max="4" width="13.42578125" customWidth="1"/>
    <col min="5" max="5" width="33.42578125" customWidth="1"/>
    <col min="6" max="6" width="16.85546875" customWidth="1"/>
    <col min="7" max="7" width="15.85546875" customWidth="1"/>
    <col min="8" max="8" width="23.7109375" customWidth="1"/>
  </cols>
  <sheetData>
    <row r="4" spans="1:8">
      <c r="B4" s="85" t="s">
        <v>905</v>
      </c>
    </row>
    <row r="5" spans="1:8" ht="30">
      <c r="A5" s="85" t="s">
        <v>415</v>
      </c>
      <c r="B5" t="s">
        <v>908</v>
      </c>
      <c r="C5" s="267" t="s">
        <v>909</v>
      </c>
      <c r="D5" s="267" t="s">
        <v>910</v>
      </c>
      <c r="E5" s="267" t="s">
        <v>911</v>
      </c>
      <c r="F5" s="267" t="s">
        <v>912</v>
      </c>
      <c r="G5" s="267" t="s">
        <v>920</v>
      </c>
      <c r="H5" s="267" t="s">
        <v>419</v>
      </c>
    </row>
    <row r="6" spans="1:8">
      <c r="A6" s="86" t="s">
        <v>42</v>
      </c>
      <c r="B6" s="87">
        <v>366.67</v>
      </c>
      <c r="C6" s="87">
        <v>0</v>
      </c>
      <c r="D6" s="87">
        <v>0</v>
      </c>
      <c r="E6" s="87">
        <v>0</v>
      </c>
      <c r="F6" s="87">
        <v>3596.6928999999996</v>
      </c>
      <c r="G6" s="87">
        <v>3262.48</v>
      </c>
      <c r="H6" s="87">
        <v>7225.8428999999996</v>
      </c>
    </row>
    <row r="7" spans="1:8">
      <c r="A7" s="86" t="s">
        <v>144</v>
      </c>
      <c r="B7" s="87">
        <v>128070.88</v>
      </c>
      <c r="C7" s="87">
        <v>0</v>
      </c>
      <c r="D7" s="87">
        <v>0</v>
      </c>
      <c r="E7" s="87">
        <v>0</v>
      </c>
      <c r="F7" s="87">
        <v>86404.265903157459</v>
      </c>
      <c r="G7" s="87">
        <v>14607.66</v>
      </c>
      <c r="H7" s="87">
        <v>229082.80590315748</v>
      </c>
    </row>
    <row r="8" spans="1:8">
      <c r="A8" s="86" t="s">
        <v>390</v>
      </c>
      <c r="B8" s="87">
        <v>103586.09</v>
      </c>
      <c r="C8" s="87"/>
      <c r="D8" s="87"/>
      <c r="E8" s="87">
        <v>11954</v>
      </c>
      <c r="F8" s="87">
        <v>5208.33</v>
      </c>
      <c r="G8" s="87">
        <v>10140</v>
      </c>
      <c r="H8" s="87">
        <v>130888.42</v>
      </c>
    </row>
    <row r="9" spans="1:8">
      <c r="A9" s="86" t="s">
        <v>389</v>
      </c>
      <c r="B9" s="87">
        <v>8291.52</v>
      </c>
      <c r="C9" s="87">
        <v>0</v>
      </c>
      <c r="D9" s="87">
        <v>0</v>
      </c>
      <c r="E9" s="87">
        <v>0</v>
      </c>
      <c r="F9" s="87">
        <v>0</v>
      </c>
      <c r="G9" s="87">
        <v>0</v>
      </c>
      <c r="H9" s="87">
        <v>8291.52</v>
      </c>
    </row>
    <row r="10" spans="1:8">
      <c r="A10" s="86" t="s">
        <v>4</v>
      </c>
      <c r="B10" s="87">
        <v>128904.07</v>
      </c>
      <c r="C10" s="87">
        <v>0</v>
      </c>
      <c r="D10" s="87">
        <v>0</v>
      </c>
      <c r="E10" s="87">
        <v>0</v>
      </c>
      <c r="F10" s="87">
        <v>6815.13</v>
      </c>
      <c r="G10" s="87">
        <v>0</v>
      </c>
      <c r="H10" s="87">
        <v>135719.20000000001</v>
      </c>
    </row>
    <row r="11" spans="1:8">
      <c r="A11" s="86" t="s">
        <v>416</v>
      </c>
      <c r="B11" s="87">
        <v>369219.23</v>
      </c>
      <c r="C11" s="87">
        <v>0</v>
      </c>
      <c r="D11" s="87">
        <v>0</v>
      </c>
      <c r="E11" s="87">
        <v>11954</v>
      </c>
      <c r="F11" s="87">
        <v>102024.41880315746</v>
      </c>
      <c r="G11" s="87">
        <v>28010.14</v>
      </c>
      <c r="H11" s="87">
        <v>511207.78880315751</v>
      </c>
    </row>
    <row r="16" spans="1:8">
      <c r="A16" s="85" t="s">
        <v>412</v>
      </c>
      <c r="B16" s="86">
        <v>1</v>
      </c>
    </row>
    <row r="18" spans="1:8">
      <c r="B18" s="85" t="s">
        <v>905</v>
      </c>
    </row>
    <row r="19" spans="1:8" ht="30">
      <c r="A19" s="85" t="s">
        <v>415</v>
      </c>
      <c r="B19" t="s">
        <v>908</v>
      </c>
      <c r="C19" s="267" t="s">
        <v>909</v>
      </c>
      <c r="D19" t="s">
        <v>910</v>
      </c>
      <c r="E19" t="s">
        <v>911</v>
      </c>
      <c r="F19" t="s">
        <v>912</v>
      </c>
      <c r="G19" t="s">
        <v>920</v>
      </c>
      <c r="H19" t="s">
        <v>419</v>
      </c>
    </row>
    <row r="20" spans="1:8">
      <c r="A20" s="86" t="s">
        <v>42</v>
      </c>
      <c r="B20" s="87">
        <v>366.67</v>
      </c>
      <c r="C20" s="87">
        <v>0</v>
      </c>
      <c r="D20" s="87">
        <v>0</v>
      </c>
      <c r="E20" s="87">
        <v>0</v>
      </c>
      <c r="F20" s="87">
        <v>3596.6928999999996</v>
      </c>
      <c r="G20" s="87">
        <v>3262.48</v>
      </c>
      <c r="H20" s="87">
        <v>7225.8428999999996</v>
      </c>
    </row>
    <row r="21" spans="1:8">
      <c r="A21" s="241" t="s">
        <v>405</v>
      </c>
      <c r="B21" s="87">
        <v>0</v>
      </c>
      <c r="C21" s="87">
        <v>0</v>
      </c>
      <c r="D21" s="87">
        <v>0</v>
      </c>
      <c r="E21" s="87">
        <v>0</v>
      </c>
      <c r="F21" s="87">
        <v>3596.6928999999996</v>
      </c>
      <c r="G21" s="87">
        <v>1262.48</v>
      </c>
      <c r="H21" s="87">
        <v>4859.1728999999996</v>
      </c>
    </row>
    <row r="22" spans="1:8">
      <c r="A22" s="241" t="s">
        <v>406</v>
      </c>
      <c r="B22" s="87">
        <v>366.67</v>
      </c>
      <c r="C22" s="87">
        <v>0</v>
      </c>
      <c r="D22" s="87">
        <v>0</v>
      </c>
      <c r="E22" s="87">
        <v>0</v>
      </c>
      <c r="F22" s="87">
        <v>0</v>
      </c>
      <c r="G22" s="87">
        <v>2000</v>
      </c>
      <c r="H22" s="87">
        <v>2366.67</v>
      </c>
    </row>
    <row r="23" spans="1:8">
      <c r="A23" s="86" t="s">
        <v>144</v>
      </c>
      <c r="B23" s="87">
        <v>124753.1</v>
      </c>
      <c r="C23" s="87">
        <v>0</v>
      </c>
      <c r="D23" s="87">
        <v>0</v>
      </c>
      <c r="E23" s="87">
        <v>0</v>
      </c>
      <c r="F23" s="87">
        <v>86311.435903157457</v>
      </c>
      <c r="G23" s="87">
        <v>5904.7700000000013</v>
      </c>
      <c r="H23" s="87">
        <v>216969.30590315745</v>
      </c>
    </row>
    <row r="24" spans="1:8">
      <c r="A24" s="241" t="s">
        <v>397</v>
      </c>
      <c r="B24" s="87">
        <v>91790.44</v>
      </c>
      <c r="C24" s="87">
        <v>0</v>
      </c>
      <c r="D24" s="87">
        <v>0</v>
      </c>
      <c r="E24" s="87">
        <v>0</v>
      </c>
      <c r="F24" s="87">
        <v>0</v>
      </c>
      <c r="G24" s="87">
        <v>0</v>
      </c>
      <c r="H24" s="87">
        <v>91790.44</v>
      </c>
    </row>
    <row r="25" spans="1:8">
      <c r="A25" s="241" t="s">
        <v>398</v>
      </c>
      <c r="B25" s="87">
        <v>27162.659999999996</v>
      </c>
      <c r="C25" s="87"/>
      <c r="D25" s="87"/>
      <c r="E25" s="87"/>
      <c r="F25" s="87">
        <v>86311.435903157457</v>
      </c>
      <c r="G25" s="87">
        <v>5904.7700000000013</v>
      </c>
      <c r="H25" s="87">
        <v>119378.86590315746</v>
      </c>
    </row>
    <row r="26" spans="1:8">
      <c r="A26" s="241" t="s">
        <v>399</v>
      </c>
      <c r="B26" s="87">
        <v>5800</v>
      </c>
      <c r="C26" s="87"/>
      <c r="D26" s="87"/>
      <c r="E26" s="87"/>
      <c r="F26" s="87"/>
      <c r="G26" s="87"/>
      <c r="H26" s="87">
        <v>5800</v>
      </c>
    </row>
    <row r="27" spans="1:8">
      <c r="A27" s="86" t="s">
        <v>390</v>
      </c>
      <c r="B27" s="87">
        <v>92252.760000000009</v>
      </c>
      <c r="C27" s="87"/>
      <c r="D27" s="87"/>
      <c r="E27" s="87">
        <v>11954</v>
      </c>
      <c r="F27" s="87">
        <v>2500</v>
      </c>
      <c r="G27" s="87">
        <v>7140</v>
      </c>
      <c r="H27" s="87">
        <v>113846.76000000001</v>
      </c>
    </row>
    <row r="28" spans="1:8">
      <c r="A28" s="241" t="s">
        <v>401</v>
      </c>
      <c r="B28" s="87">
        <v>60179.51</v>
      </c>
      <c r="C28" s="87"/>
      <c r="D28" s="87"/>
      <c r="E28" s="87"/>
      <c r="F28" s="87"/>
      <c r="G28" s="87">
        <v>7140</v>
      </c>
      <c r="H28" s="87">
        <v>67319.510000000009</v>
      </c>
    </row>
    <row r="29" spans="1:8">
      <c r="A29" s="241" t="s">
        <v>402</v>
      </c>
      <c r="B29" s="87">
        <v>6128.82</v>
      </c>
      <c r="C29" s="87"/>
      <c r="D29" s="87"/>
      <c r="E29" s="87">
        <v>11954</v>
      </c>
      <c r="F29" s="87">
        <v>2500</v>
      </c>
      <c r="G29" s="87">
        <v>0</v>
      </c>
      <c r="H29" s="87">
        <v>20582.82</v>
      </c>
    </row>
    <row r="30" spans="1:8">
      <c r="A30" s="241" t="s">
        <v>403</v>
      </c>
      <c r="B30" s="87">
        <v>25944.43</v>
      </c>
      <c r="C30" s="87"/>
      <c r="D30" s="87"/>
      <c r="E30" s="87"/>
      <c r="F30" s="87"/>
      <c r="G30" s="87"/>
      <c r="H30" s="87">
        <v>25944.43</v>
      </c>
    </row>
    <row r="31" spans="1:8">
      <c r="A31" s="241" t="s">
        <v>404</v>
      </c>
      <c r="B31" s="87">
        <v>0</v>
      </c>
      <c r="C31" s="87"/>
      <c r="D31" s="87"/>
      <c r="E31" s="87"/>
      <c r="F31" s="87"/>
      <c r="G31" s="87"/>
      <c r="H31" s="87">
        <v>0</v>
      </c>
    </row>
    <row r="32" spans="1:8">
      <c r="A32" s="86" t="s">
        <v>389</v>
      </c>
      <c r="B32" s="87">
        <v>3182.41</v>
      </c>
      <c r="C32" s="87">
        <v>0</v>
      </c>
      <c r="D32" s="87">
        <v>0</v>
      </c>
      <c r="E32" s="87">
        <v>0</v>
      </c>
      <c r="F32" s="87">
        <v>0</v>
      </c>
      <c r="G32" s="87">
        <v>0</v>
      </c>
      <c r="H32" s="87">
        <v>3182.41</v>
      </c>
    </row>
    <row r="33" spans="1:8">
      <c r="A33" s="241" t="s">
        <v>400</v>
      </c>
      <c r="B33" s="87">
        <v>3182.41</v>
      </c>
      <c r="C33" s="87">
        <v>0</v>
      </c>
      <c r="D33" s="87">
        <v>0</v>
      </c>
      <c r="E33" s="87">
        <v>0</v>
      </c>
      <c r="F33" s="87">
        <v>0</v>
      </c>
      <c r="G33" s="87">
        <v>0</v>
      </c>
      <c r="H33" s="87">
        <v>3182.41</v>
      </c>
    </row>
    <row r="34" spans="1:8">
      <c r="A34" s="241" t="s">
        <v>866</v>
      </c>
      <c r="B34" s="87">
        <v>0</v>
      </c>
      <c r="C34" s="87"/>
      <c r="D34" s="87"/>
      <c r="E34" s="87"/>
      <c r="F34" s="87"/>
      <c r="G34" s="87"/>
      <c r="H34" s="87"/>
    </row>
    <row r="35" spans="1:8">
      <c r="A35" s="86" t="s">
        <v>4</v>
      </c>
      <c r="B35" s="87">
        <v>119380.26000000001</v>
      </c>
      <c r="C35" s="87">
        <v>0</v>
      </c>
      <c r="D35" s="87">
        <v>0</v>
      </c>
      <c r="E35" s="87">
        <v>0</v>
      </c>
      <c r="F35" s="87">
        <v>6815.13</v>
      </c>
      <c r="G35" s="87">
        <v>0</v>
      </c>
      <c r="H35" s="87">
        <v>126195.39000000001</v>
      </c>
    </row>
    <row r="36" spans="1:8">
      <c r="A36" s="241" t="s">
        <v>407</v>
      </c>
      <c r="B36" s="87">
        <v>43625.33</v>
      </c>
      <c r="C36" s="87">
        <v>0</v>
      </c>
      <c r="D36" s="87">
        <v>0</v>
      </c>
      <c r="E36" s="87">
        <v>0</v>
      </c>
      <c r="F36" s="87">
        <v>750</v>
      </c>
      <c r="G36" s="87">
        <v>0</v>
      </c>
      <c r="H36" s="87">
        <v>44375.33</v>
      </c>
    </row>
    <row r="37" spans="1:8">
      <c r="A37" s="241" t="s">
        <v>402</v>
      </c>
      <c r="B37" s="87">
        <v>47051.3</v>
      </c>
      <c r="C37" s="87">
        <v>0</v>
      </c>
      <c r="D37" s="87">
        <v>0</v>
      </c>
      <c r="E37" s="87">
        <v>0</v>
      </c>
      <c r="F37" s="87">
        <v>5165.5</v>
      </c>
      <c r="G37" s="87">
        <v>0</v>
      </c>
      <c r="H37" s="87">
        <v>52216.800000000003</v>
      </c>
    </row>
    <row r="38" spans="1:8">
      <c r="A38" s="241" t="s">
        <v>408</v>
      </c>
      <c r="B38" s="87">
        <v>24500</v>
      </c>
      <c r="C38" s="87"/>
      <c r="D38" s="87"/>
      <c r="E38" s="87"/>
      <c r="F38" s="87"/>
      <c r="G38" s="87"/>
      <c r="H38" s="87">
        <v>24500</v>
      </c>
    </row>
    <row r="39" spans="1:8">
      <c r="A39" s="241" t="s">
        <v>409</v>
      </c>
      <c r="B39" s="87">
        <v>2780.3</v>
      </c>
      <c r="C39" s="87"/>
      <c r="D39" s="87"/>
      <c r="E39" s="87"/>
      <c r="F39" s="87"/>
      <c r="G39" s="87"/>
      <c r="H39" s="87">
        <v>2780.3</v>
      </c>
    </row>
    <row r="40" spans="1:8">
      <c r="A40" s="241" t="s">
        <v>410</v>
      </c>
      <c r="B40" s="87">
        <v>1423.33</v>
      </c>
      <c r="C40" s="87">
        <v>0</v>
      </c>
      <c r="D40" s="87">
        <v>0</v>
      </c>
      <c r="E40" s="87">
        <v>0</v>
      </c>
      <c r="F40" s="87">
        <v>899.63000000000011</v>
      </c>
      <c r="G40" s="87">
        <v>0</v>
      </c>
      <c r="H40" s="87">
        <v>2322.96</v>
      </c>
    </row>
    <row r="41" spans="1:8">
      <c r="A41" s="86" t="s">
        <v>416</v>
      </c>
      <c r="B41" s="87">
        <v>339935.2</v>
      </c>
      <c r="C41" s="87">
        <v>0</v>
      </c>
      <c r="D41" s="87">
        <v>0</v>
      </c>
      <c r="E41" s="87">
        <v>11954</v>
      </c>
      <c r="F41" s="87">
        <v>99223.258803157456</v>
      </c>
      <c r="G41" s="87">
        <v>16307.250000000002</v>
      </c>
      <c r="H41" s="87">
        <v>467419.7088031575</v>
      </c>
    </row>
  </sheetData>
  <pageMargins left="0.7" right="0.7" top="0.75" bottom="0.75" header="0.3" footer="0.3"/>
  <pageSetup paperSize="9" orientation="landscape" r:id="rId3"/>
</worksheet>
</file>

<file path=xl/worksheets/sheet2.xml><?xml version="1.0" encoding="utf-8"?>
<worksheet xmlns="http://schemas.openxmlformats.org/spreadsheetml/2006/main" xmlns:r="http://schemas.openxmlformats.org/officeDocument/2006/relationships">
  <sheetPr>
    <tabColor theme="3" tint="-0.249977111117893"/>
  </sheetPr>
  <dimension ref="A1:W169"/>
  <sheetViews>
    <sheetView topLeftCell="E139" zoomScaleNormal="100" workbookViewId="0">
      <selection activeCell="L141" sqref="L141"/>
    </sheetView>
  </sheetViews>
  <sheetFormatPr defaultRowHeight="15"/>
  <cols>
    <col min="1" max="1" width="4.5703125" style="2" customWidth="1"/>
    <col min="2" max="2" width="6.5703125" style="2" customWidth="1"/>
    <col min="3" max="3" width="30.28515625" style="2" customWidth="1"/>
    <col min="4" max="4" width="3" style="2" customWidth="1"/>
    <col min="5" max="5" width="12.140625" style="2" customWidth="1"/>
    <col min="6" max="6" width="3" style="2" customWidth="1"/>
    <col min="7" max="10" width="12.85546875" style="2" customWidth="1"/>
    <col min="11" max="11" width="26" style="2" customWidth="1"/>
    <col min="12" max="12" width="49.85546875" style="2" customWidth="1"/>
    <col min="13" max="13" width="10.28515625" style="3" customWidth="1"/>
    <col min="14" max="15" width="11" style="2" customWidth="1"/>
    <col min="16" max="16" width="11.5703125" style="2" bestFit="1" customWidth="1"/>
    <col min="17" max="17" width="15.28515625" style="2" customWidth="1"/>
    <col min="18" max="23" width="11.28515625" style="2" customWidth="1"/>
    <col min="24" max="16384" width="9.140625" style="2"/>
  </cols>
  <sheetData>
    <row r="1" spans="1:23" ht="19.5" customHeight="1">
      <c r="C1" s="84" t="s">
        <v>902</v>
      </c>
    </row>
    <row r="2" spans="1:23" ht="6.75" customHeight="1">
      <c r="B2" s="24"/>
    </row>
    <row r="3" spans="1:23" ht="17.25" customHeight="1">
      <c r="M3" s="2"/>
      <c r="Q3" s="381" t="s">
        <v>894</v>
      </c>
      <c r="R3" s="381"/>
      <c r="S3" s="381"/>
      <c r="T3" s="381"/>
      <c r="U3" s="381"/>
      <c r="V3" s="381"/>
    </row>
    <row r="4" spans="1:23" ht="44.25" customHeight="1">
      <c r="A4" s="82" t="s">
        <v>278</v>
      </c>
      <c r="B4" s="74" t="s">
        <v>276</v>
      </c>
      <c r="C4" s="81" t="s">
        <v>275</v>
      </c>
      <c r="D4" s="75" t="s">
        <v>412</v>
      </c>
      <c r="E4" s="39" t="s">
        <v>274</v>
      </c>
      <c r="F4" s="76" t="s">
        <v>413</v>
      </c>
      <c r="G4" s="53" t="s">
        <v>411</v>
      </c>
      <c r="H4" s="61" t="s">
        <v>267</v>
      </c>
      <c r="I4" s="34" t="s">
        <v>273</v>
      </c>
      <c r="J4" s="34" t="s">
        <v>1005</v>
      </c>
      <c r="K4" s="34" t="s">
        <v>1014</v>
      </c>
      <c r="L4" s="34" t="s">
        <v>1025</v>
      </c>
      <c r="M4" s="77" t="s">
        <v>270</v>
      </c>
      <c r="N4" s="77" t="s">
        <v>269</v>
      </c>
      <c r="O4" s="73" t="s">
        <v>268</v>
      </c>
      <c r="P4" s="72" t="s">
        <v>904</v>
      </c>
      <c r="Q4" s="219" t="s">
        <v>895</v>
      </c>
      <c r="R4" s="221" t="s">
        <v>896</v>
      </c>
      <c r="S4" s="222" t="s">
        <v>897</v>
      </c>
      <c r="T4" s="220" t="s">
        <v>898</v>
      </c>
      <c r="U4" s="223" t="s">
        <v>899</v>
      </c>
      <c r="V4" s="218" t="s">
        <v>900</v>
      </c>
      <c r="W4" s="243" t="s">
        <v>901</v>
      </c>
    </row>
    <row r="5" spans="1:23" ht="52.5" customHeight="1">
      <c r="A5" s="12">
        <v>1</v>
      </c>
      <c r="B5" s="10" t="s">
        <v>266</v>
      </c>
      <c r="C5" s="14" t="s">
        <v>865</v>
      </c>
      <c r="D5" s="6">
        <v>2</v>
      </c>
      <c r="E5" s="8" t="s">
        <v>144</v>
      </c>
      <c r="F5" s="8">
        <v>1</v>
      </c>
      <c r="G5" s="66" t="s">
        <v>397</v>
      </c>
      <c r="H5" s="5" t="s">
        <v>334</v>
      </c>
      <c r="I5" s="28" t="s">
        <v>184</v>
      </c>
      <c r="J5" s="28" t="s">
        <v>1006</v>
      </c>
      <c r="K5" s="310" t="s">
        <v>1015</v>
      </c>
      <c r="L5" s="314" t="s">
        <v>1045</v>
      </c>
      <c r="M5" s="43">
        <f>'Dados Detalhados'!$L$3</f>
        <v>7778.35</v>
      </c>
      <c r="N5" s="43">
        <v>0</v>
      </c>
      <c r="O5" s="43">
        <v>0</v>
      </c>
      <c r="P5" s="78">
        <f>+M5+N5+O5</f>
        <v>7778.35</v>
      </c>
      <c r="Q5" s="78"/>
      <c r="R5" s="78"/>
      <c r="S5" s="78"/>
      <c r="T5" s="78"/>
      <c r="U5" s="78"/>
      <c r="V5" s="78"/>
      <c r="W5" s="78">
        <f>+P5</f>
        <v>7778.35</v>
      </c>
    </row>
    <row r="6" spans="1:23" ht="71.25" customHeight="1">
      <c r="A6" s="12">
        <v>2</v>
      </c>
      <c r="B6" s="10" t="s">
        <v>264</v>
      </c>
      <c r="C6" s="14" t="s">
        <v>263</v>
      </c>
      <c r="D6" s="6">
        <v>1</v>
      </c>
      <c r="E6" s="8" t="s">
        <v>144</v>
      </c>
      <c r="F6" s="8">
        <v>1</v>
      </c>
      <c r="G6" s="66" t="s">
        <v>397</v>
      </c>
      <c r="H6" s="5" t="s">
        <v>334</v>
      </c>
      <c r="I6" s="28" t="s">
        <v>184</v>
      </c>
      <c r="J6" s="28" t="s">
        <v>1006</v>
      </c>
      <c r="K6" s="310" t="s">
        <v>1015</v>
      </c>
      <c r="L6" s="310" t="s">
        <v>1027</v>
      </c>
      <c r="M6" s="224">
        <f>'Dados Detalhados'!$L$37</f>
        <v>6177.64</v>
      </c>
      <c r="N6" s="224">
        <f>'Dados Detalhados'!$L$37</f>
        <v>6177.64</v>
      </c>
      <c r="O6" s="224">
        <f>'Dados Detalhados'!$L$37</f>
        <v>6177.64</v>
      </c>
      <c r="P6" s="78">
        <f t="shared" ref="P6:P69" si="0">+M6+N6+O6</f>
        <v>18532.920000000002</v>
      </c>
      <c r="Q6" s="78">
        <f>+P6</f>
        <v>18532.920000000002</v>
      </c>
      <c r="R6" s="78"/>
      <c r="S6" s="78"/>
      <c r="T6" s="78"/>
      <c r="U6" s="78"/>
      <c r="V6" s="78"/>
      <c r="W6" s="78"/>
    </row>
    <row r="7" spans="1:23" ht="52.5" customHeight="1">
      <c r="A7" s="12">
        <v>3</v>
      </c>
      <c r="B7" s="10" t="s">
        <v>262</v>
      </c>
      <c r="C7" s="14" t="s">
        <v>261</v>
      </c>
      <c r="D7" s="6">
        <v>3</v>
      </c>
      <c r="E7" s="8" t="s">
        <v>144</v>
      </c>
      <c r="F7" s="8">
        <v>1</v>
      </c>
      <c r="G7" s="66" t="s">
        <v>397</v>
      </c>
      <c r="H7" s="5" t="s">
        <v>334</v>
      </c>
      <c r="I7" s="28" t="s">
        <v>184</v>
      </c>
      <c r="J7" s="28" t="s">
        <v>1006</v>
      </c>
      <c r="K7" s="310" t="s">
        <v>1015</v>
      </c>
      <c r="L7" s="310" t="s">
        <v>1046</v>
      </c>
      <c r="M7" s="43">
        <f>'Dados Detalhados'!$L$66</f>
        <v>3315.83</v>
      </c>
      <c r="N7" s="43">
        <v>0</v>
      </c>
      <c r="O7" s="43">
        <f>'Dados Detalhados'!$L$66</f>
        <v>3315.83</v>
      </c>
      <c r="P7" s="78">
        <f t="shared" si="0"/>
        <v>6631.66</v>
      </c>
      <c r="Q7" s="78"/>
      <c r="R7" s="78"/>
      <c r="S7" s="78"/>
      <c r="T7" s="78"/>
      <c r="U7" s="78"/>
      <c r="V7" s="78"/>
      <c r="W7" s="78">
        <f>+P7</f>
        <v>6631.66</v>
      </c>
    </row>
    <row r="8" spans="1:23" ht="52.5" customHeight="1">
      <c r="A8" s="12">
        <v>4</v>
      </c>
      <c r="B8" s="10" t="s">
        <v>260</v>
      </c>
      <c r="C8" s="14" t="s">
        <v>259</v>
      </c>
      <c r="D8" s="6">
        <v>1</v>
      </c>
      <c r="E8" s="8" t="s">
        <v>144</v>
      </c>
      <c r="F8" s="8">
        <v>1</v>
      </c>
      <c r="G8" s="66" t="s">
        <v>397</v>
      </c>
      <c r="H8" s="5" t="s">
        <v>334</v>
      </c>
      <c r="I8" s="28" t="s">
        <v>184</v>
      </c>
      <c r="J8" s="28" t="s">
        <v>1007</v>
      </c>
      <c r="K8" s="310" t="s">
        <v>1015</v>
      </c>
      <c r="L8" s="310" t="s">
        <v>1028</v>
      </c>
      <c r="M8" s="224">
        <f>'Dados Detalhados'!$L$95</f>
        <v>1905.11</v>
      </c>
      <c r="N8" s="224">
        <f>'Dados Detalhados'!$L$95</f>
        <v>1905.11</v>
      </c>
      <c r="O8" s="224">
        <f>'Dados Detalhados'!$L$95</f>
        <v>1905.11</v>
      </c>
      <c r="P8" s="78">
        <f t="shared" si="0"/>
        <v>5715.33</v>
      </c>
      <c r="Q8" s="78">
        <f t="shared" ref="Q8:Q71" si="1">+P8</f>
        <v>5715.33</v>
      </c>
      <c r="R8" s="78"/>
      <c r="S8" s="78"/>
      <c r="T8" s="78"/>
      <c r="U8" s="78"/>
      <c r="V8" s="78"/>
      <c r="W8" s="78"/>
    </row>
    <row r="9" spans="1:23" ht="52.5" customHeight="1">
      <c r="A9" s="12">
        <v>5</v>
      </c>
      <c r="B9" s="10" t="s">
        <v>258</v>
      </c>
      <c r="C9" s="14" t="s">
        <v>257</v>
      </c>
      <c r="D9" s="6">
        <v>3</v>
      </c>
      <c r="E9" s="8" t="s">
        <v>4</v>
      </c>
      <c r="F9" s="8">
        <v>5</v>
      </c>
      <c r="G9" s="66" t="s">
        <v>397</v>
      </c>
      <c r="H9" s="5" t="s">
        <v>334</v>
      </c>
      <c r="I9" s="28" t="s">
        <v>184</v>
      </c>
      <c r="J9" s="28" t="s">
        <v>1006</v>
      </c>
      <c r="K9" s="310" t="s">
        <v>1015</v>
      </c>
      <c r="L9" s="310" t="s">
        <v>1029</v>
      </c>
      <c r="M9" s="224">
        <f>'Dados Detalhados'!$L$124</f>
        <v>2951.1100000000006</v>
      </c>
      <c r="N9" s="224">
        <f>'Dados Detalhados'!$L$124</f>
        <v>2951.1100000000006</v>
      </c>
      <c r="O9" s="224">
        <f>'Dados Detalhados'!$L$124</f>
        <v>2951.1100000000006</v>
      </c>
      <c r="P9" s="78">
        <f t="shared" si="0"/>
        <v>8853.3300000000017</v>
      </c>
      <c r="Q9" s="78">
        <f t="shared" si="1"/>
        <v>8853.3300000000017</v>
      </c>
      <c r="R9" s="78"/>
      <c r="S9" s="78"/>
      <c r="T9" s="78"/>
      <c r="U9" s="78"/>
      <c r="V9" s="78"/>
      <c r="W9" s="78"/>
    </row>
    <row r="10" spans="1:23" ht="52.5" customHeight="1">
      <c r="A10" s="12">
        <v>6</v>
      </c>
      <c r="B10" s="10" t="s">
        <v>256</v>
      </c>
      <c r="C10" s="14" t="s">
        <v>255</v>
      </c>
      <c r="D10" s="6">
        <v>3</v>
      </c>
      <c r="E10" s="8" t="s">
        <v>144</v>
      </c>
      <c r="F10" s="8">
        <v>1</v>
      </c>
      <c r="G10" s="66" t="s">
        <v>397</v>
      </c>
      <c r="H10" s="5" t="s">
        <v>334</v>
      </c>
      <c r="I10" s="28" t="s">
        <v>184</v>
      </c>
      <c r="J10" s="28" t="s">
        <v>1008</v>
      </c>
      <c r="K10" s="310" t="s">
        <v>1015</v>
      </c>
      <c r="L10" s="310" t="s">
        <v>681</v>
      </c>
      <c r="M10" s="43">
        <v>0</v>
      </c>
      <c r="N10" s="43">
        <v>0</v>
      </c>
      <c r="O10" s="43">
        <v>0</v>
      </c>
      <c r="P10" s="78">
        <f t="shared" si="0"/>
        <v>0</v>
      </c>
      <c r="Q10" s="78"/>
      <c r="R10" s="78"/>
      <c r="S10" s="78"/>
      <c r="T10" s="78"/>
      <c r="U10" s="78"/>
      <c r="V10" s="78"/>
      <c r="W10" s="78">
        <f>+P10</f>
        <v>0</v>
      </c>
    </row>
    <row r="11" spans="1:23" ht="52.5" customHeight="1">
      <c r="A11" s="12">
        <v>7</v>
      </c>
      <c r="B11" s="14" t="s">
        <v>254</v>
      </c>
      <c r="C11" s="14" t="s">
        <v>253</v>
      </c>
      <c r="D11" s="6">
        <v>2</v>
      </c>
      <c r="E11" s="8" t="s">
        <v>144</v>
      </c>
      <c r="F11" s="8">
        <v>1</v>
      </c>
      <c r="G11" s="66" t="s">
        <v>397</v>
      </c>
      <c r="H11" s="5" t="s">
        <v>334</v>
      </c>
      <c r="I11" s="28" t="s">
        <v>184</v>
      </c>
      <c r="J11" s="28" t="s">
        <v>1009</v>
      </c>
      <c r="K11" s="310" t="s">
        <v>1015</v>
      </c>
      <c r="L11" s="314" t="s">
        <v>1047</v>
      </c>
      <c r="M11" s="225">
        <f>'Dados Detalhados'!$L$180</f>
        <v>4963.0599999999995</v>
      </c>
      <c r="N11" s="43">
        <v>0</v>
      </c>
      <c r="O11" s="43">
        <v>0</v>
      </c>
      <c r="P11" s="78">
        <f t="shared" si="0"/>
        <v>4963.0599999999995</v>
      </c>
      <c r="Q11" s="78"/>
      <c r="R11" s="78"/>
      <c r="S11" s="78">
        <f t="shared" ref="S11:S52" si="2">+P11</f>
        <v>4963.0599999999995</v>
      </c>
      <c r="T11" s="78"/>
      <c r="U11" s="78"/>
      <c r="V11" s="78"/>
      <c r="W11" s="78"/>
    </row>
    <row r="12" spans="1:23" ht="52.5" customHeight="1">
      <c r="A12" s="12">
        <v>8</v>
      </c>
      <c r="B12" s="14" t="s">
        <v>252</v>
      </c>
      <c r="C12" s="14" t="s">
        <v>251</v>
      </c>
      <c r="D12" s="6">
        <v>1</v>
      </c>
      <c r="E12" s="8" t="s">
        <v>390</v>
      </c>
      <c r="F12" s="8">
        <v>3</v>
      </c>
      <c r="G12" s="66" t="s">
        <v>397</v>
      </c>
      <c r="H12" s="5"/>
      <c r="I12" s="28" t="s">
        <v>184</v>
      </c>
      <c r="J12" s="28" t="s">
        <v>1007</v>
      </c>
      <c r="K12" s="310" t="s">
        <v>1015</v>
      </c>
      <c r="L12" s="310" t="s">
        <v>1106</v>
      </c>
      <c r="M12" s="43">
        <f>'Dados Detalhados'!$L$209</f>
        <v>582.78000000000009</v>
      </c>
      <c r="N12" s="43">
        <v>0</v>
      </c>
      <c r="O12" s="43">
        <v>0</v>
      </c>
      <c r="P12" s="78">
        <f t="shared" si="0"/>
        <v>582.78000000000009</v>
      </c>
      <c r="Q12" s="78"/>
      <c r="R12" s="78"/>
      <c r="S12" s="78"/>
      <c r="T12" s="78"/>
      <c r="U12" s="78"/>
      <c r="V12" s="78"/>
      <c r="W12" s="78">
        <f t="shared" ref="W12:W68" si="3">+P12</f>
        <v>582.78000000000009</v>
      </c>
    </row>
    <row r="13" spans="1:23" ht="52.5" customHeight="1">
      <c r="A13" s="12">
        <v>9</v>
      </c>
      <c r="B13" s="10" t="s">
        <v>250</v>
      </c>
      <c r="C13" s="14" t="s">
        <v>249</v>
      </c>
      <c r="D13" s="6">
        <v>1</v>
      </c>
      <c r="E13" s="8" t="s">
        <v>389</v>
      </c>
      <c r="F13" s="8">
        <v>2</v>
      </c>
      <c r="G13" s="66" t="s">
        <v>397</v>
      </c>
      <c r="H13" s="5" t="s">
        <v>334</v>
      </c>
      <c r="I13" s="28" t="s">
        <v>184</v>
      </c>
      <c r="J13" s="28" t="s">
        <v>1006</v>
      </c>
      <c r="K13" s="28" t="s">
        <v>1016</v>
      </c>
      <c r="L13" s="28" t="s">
        <v>1030</v>
      </c>
      <c r="M13" s="43">
        <v>0</v>
      </c>
      <c r="N13" s="224">
        <f>'Dados Detalhados'!$L$216</f>
        <v>2058.5600000000004</v>
      </c>
      <c r="O13" s="43">
        <v>0</v>
      </c>
      <c r="P13" s="78">
        <f t="shared" si="0"/>
        <v>2058.5600000000004</v>
      </c>
      <c r="Q13" s="78">
        <f t="shared" si="1"/>
        <v>2058.5600000000004</v>
      </c>
      <c r="R13" s="78"/>
      <c r="S13" s="78"/>
      <c r="T13" s="78"/>
      <c r="U13" s="78"/>
      <c r="V13" s="78"/>
      <c r="W13" s="78"/>
    </row>
    <row r="14" spans="1:23" ht="52.5" customHeight="1">
      <c r="A14" s="12">
        <v>10</v>
      </c>
      <c r="B14" s="10" t="s">
        <v>248</v>
      </c>
      <c r="C14" s="10" t="s">
        <v>247</v>
      </c>
      <c r="D14" s="6">
        <v>3</v>
      </c>
      <c r="E14" s="8" t="s">
        <v>144</v>
      </c>
      <c r="F14" s="8">
        <v>1</v>
      </c>
      <c r="G14" s="66" t="s">
        <v>397</v>
      </c>
      <c r="H14" s="9" t="s">
        <v>334</v>
      </c>
      <c r="I14" s="28" t="s">
        <v>184</v>
      </c>
      <c r="J14" s="28" t="s">
        <v>1006</v>
      </c>
      <c r="K14" s="28" t="s">
        <v>1015</v>
      </c>
      <c r="L14" s="28" t="s">
        <v>688</v>
      </c>
      <c r="M14" s="43">
        <v>0</v>
      </c>
      <c r="N14" s="43">
        <v>0</v>
      </c>
      <c r="O14" s="43">
        <v>0</v>
      </c>
      <c r="P14" s="78">
        <f t="shared" si="0"/>
        <v>0</v>
      </c>
      <c r="Q14" s="78"/>
      <c r="R14" s="78"/>
      <c r="S14" s="78"/>
      <c r="T14" s="78"/>
      <c r="U14" s="78">
        <f t="shared" ref="U14:U62" si="4">+P14</f>
        <v>0</v>
      </c>
      <c r="V14" s="78"/>
      <c r="W14" s="78"/>
    </row>
    <row r="15" spans="1:23" ht="52.5" customHeight="1">
      <c r="A15" s="12">
        <v>11</v>
      </c>
      <c r="B15" s="10" t="s">
        <v>246</v>
      </c>
      <c r="C15" s="51" t="s">
        <v>333</v>
      </c>
      <c r="D15" s="6">
        <v>1</v>
      </c>
      <c r="E15" s="8" t="s">
        <v>144</v>
      </c>
      <c r="F15" s="8">
        <v>1</v>
      </c>
      <c r="G15" s="66" t="s">
        <v>397</v>
      </c>
      <c r="H15" s="5"/>
      <c r="I15" s="28" t="s">
        <v>184</v>
      </c>
      <c r="J15" s="28" t="s">
        <v>1006</v>
      </c>
      <c r="K15" s="28"/>
      <c r="L15" s="28" t="s">
        <v>333</v>
      </c>
      <c r="M15" s="43"/>
      <c r="N15" s="43"/>
      <c r="O15" s="43"/>
      <c r="P15" s="78">
        <f t="shared" si="0"/>
        <v>0</v>
      </c>
      <c r="Q15" s="78">
        <f t="shared" si="1"/>
        <v>0</v>
      </c>
      <c r="R15" s="78">
        <f t="shared" ref="R15:R51" si="5">+P15</f>
        <v>0</v>
      </c>
      <c r="S15" s="78">
        <f t="shared" si="2"/>
        <v>0</v>
      </c>
      <c r="T15" s="78">
        <f t="shared" ref="T15:T51" si="6">+P15</f>
        <v>0</v>
      </c>
      <c r="U15" s="78">
        <f t="shared" si="4"/>
        <v>0</v>
      </c>
      <c r="V15" s="78"/>
      <c r="W15" s="78">
        <f t="shared" si="3"/>
        <v>0</v>
      </c>
    </row>
    <row r="16" spans="1:23" ht="93.75" customHeight="1">
      <c r="A16" s="12">
        <v>12</v>
      </c>
      <c r="B16" s="10" t="s">
        <v>245</v>
      </c>
      <c r="C16" s="51" t="s">
        <v>393</v>
      </c>
      <c r="D16" s="6">
        <v>1</v>
      </c>
      <c r="E16" s="8" t="s">
        <v>144</v>
      </c>
      <c r="F16" s="8">
        <v>1</v>
      </c>
      <c r="G16" s="66" t="s">
        <v>397</v>
      </c>
      <c r="H16" s="9"/>
      <c r="I16" s="28" t="s">
        <v>184</v>
      </c>
      <c r="J16" s="28" t="s">
        <v>1006</v>
      </c>
      <c r="K16" s="28" t="s">
        <v>1015</v>
      </c>
      <c r="L16" s="312" t="s">
        <v>1039</v>
      </c>
      <c r="M16" s="224">
        <f>'Dados Detalhados'!$L$247</f>
        <v>60330</v>
      </c>
      <c r="N16" s="224">
        <f>'Dados Detalhados'!$L$247</f>
        <v>60330</v>
      </c>
      <c r="O16" s="224">
        <f>'Dados Detalhados'!$L$247</f>
        <v>60330</v>
      </c>
      <c r="P16" s="78">
        <f t="shared" si="0"/>
        <v>180990</v>
      </c>
      <c r="Q16" s="78">
        <f t="shared" si="1"/>
        <v>180990</v>
      </c>
      <c r="R16" s="78"/>
      <c r="S16" s="78"/>
      <c r="T16" s="78"/>
      <c r="U16" s="78"/>
      <c r="V16" s="78"/>
      <c r="W16" s="78"/>
    </row>
    <row r="17" spans="1:23" ht="18" customHeight="1">
      <c r="A17" s="12">
        <v>13</v>
      </c>
      <c r="B17" s="10" t="s">
        <v>244</v>
      </c>
      <c r="C17" s="14" t="s">
        <v>243</v>
      </c>
      <c r="D17" s="6">
        <v>1</v>
      </c>
      <c r="E17" s="8" t="s">
        <v>390</v>
      </c>
      <c r="F17" s="8">
        <v>3</v>
      </c>
      <c r="G17" s="66" t="s">
        <v>397</v>
      </c>
      <c r="H17" s="5"/>
      <c r="I17" s="28" t="s">
        <v>184</v>
      </c>
      <c r="J17" s="28" t="s">
        <v>1006</v>
      </c>
      <c r="K17" s="310" t="s">
        <v>1017</v>
      </c>
      <c r="L17" s="310" t="s">
        <v>692</v>
      </c>
      <c r="M17" s="43">
        <v>0</v>
      </c>
      <c r="N17" s="43">
        <v>0</v>
      </c>
      <c r="O17" s="43">
        <v>0</v>
      </c>
      <c r="P17" s="78">
        <f t="shared" si="0"/>
        <v>0</v>
      </c>
      <c r="Q17" s="78"/>
      <c r="R17" s="78">
        <f t="shared" si="5"/>
        <v>0</v>
      </c>
      <c r="S17" s="78"/>
      <c r="T17" s="78"/>
      <c r="U17" s="78"/>
      <c r="V17" s="78"/>
      <c r="W17" s="78"/>
    </row>
    <row r="18" spans="1:23" ht="52.5" customHeight="1">
      <c r="A18" s="12">
        <v>14</v>
      </c>
      <c r="B18" s="10" t="s">
        <v>242</v>
      </c>
      <c r="C18" s="14" t="s">
        <v>241</v>
      </c>
      <c r="D18" s="6">
        <v>1</v>
      </c>
      <c r="E18" s="8" t="s">
        <v>144</v>
      </c>
      <c r="F18" s="8">
        <v>1</v>
      </c>
      <c r="G18" s="66" t="s">
        <v>397</v>
      </c>
      <c r="H18" s="5" t="s">
        <v>332</v>
      </c>
      <c r="I18" s="28" t="s">
        <v>184</v>
      </c>
      <c r="J18" s="28" t="s">
        <v>1006</v>
      </c>
      <c r="K18" s="28" t="s">
        <v>1015</v>
      </c>
      <c r="L18" s="28" t="s">
        <v>1040</v>
      </c>
      <c r="M18" s="224">
        <f>'Dados Detalhados'!$L$280</f>
        <v>11876</v>
      </c>
      <c r="N18" s="43">
        <v>0</v>
      </c>
      <c r="O18" s="43">
        <v>0</v>
      </c>
      <c r="P18" s="78">
        <f t="shared" si="0"/>
        <v>11876</v>
      </c>
      <c r="Q18" s="78">
        <f t="shared" si="1"/>
        <v>11876</v>
      </c>
      <c r="R18" s="78"/>
      <c r="S18" s="78"/>
      <c r="T18" s="78"/>
      <c r="U18" s="78"/>
      <c r="V18" s="78"/>
      <c r="W18" s="78"/>
    </row>
    <row r="19" spans="1:23" ht="52.5" customHeight="1">
      <c r="A19" s="12">
        <v>15</v>
      </c>
      <c r="B19" s="10" t="s">
        <v>240</v>
      </c>
      <c r="C19" s="14" t="s">
        <v>239</v>
      </c>
      <c r="D19" s="6">
        <v>1</v>
      </c>
      <c r="E19" s="8" t="s">
        <v>144</v>
      </c>
      <c r="F19" s="8">
        <v>1</v>
      </c>
      <c r="G19" s="66" t="s">
        <v>397</v>
      </c>
      <c r="H19" s="5" t="s">
        <v>332</v>
      </c>
      <c r="I19" s="28" t="s">
        <v>184</v>
      </c>
      <c r="J19" s="28" t="s">
        <v>1007</v>
      </c>
      <c r="K19" s="28" t="s">
        <v>1015</v>
      </c>
      <c r="L19" s="28" t="s">
        <v>695</v>
      </c>
      <c r="M19" s="43">
        <v>0</v>
      </c>
      <c r="N19" s="43">
        <v>0</v>
      </c>
      <c r="O19" s="43">
        <v>0</v>
      </c>
      <c r="P19" s="78">
        <f t="shared" si="0"/>
        <v>0</v>
      </c>
      <c r="Q19" s="78">
        <f t="shared" si="1"/>
        <v>0</v>
      </c>
      <c r="R19" s="78"/>
      <c r="S19" s="78"/>
      <c r="T19" s="78"/>
      <c r="U19" s="78"/>
      <c r="V19" s="78"/>
      <c r="W19" s="78"/>
    </row>
    <row r="20" spans="1:23" ht="52.5" customHeight="1">
      <c r="A20" s="12">
        <v>16</v>
      </c>
      <c r="B20" s="10" t="s">
        <v>238</v>
      </c>
      <c r="C20" s="14" t="s">
        <v>237</v>
      </c>
      <c r="D20" s="6">
        <v>2</v>
      </c>
      <c r="E20" s="8" t="s">
        <v>144</v>
      </c>
      <c r="F20" s="8">
        <v>1</v>
      </c>
      <c r="G20" s="66" t="s">
        <v>397</v>
      </c>
      <c r="H20" s="5" t="s">
        <v>332</v>
      </c>
      <c r="I20" s="28" t="s">
        <v>184</v>
      </c>
      <c r="J20" s="28" t="s">
        <v>1006</v>
      </c>
      <c r="K20" s="310" t="s">
        <v>1019</v>
      </c>
      <c r="L20" s="310" t="s">
        <v>1107</v>
      </c>
      <c r="M20" s="43">
        <f>'Dados Detalhados'!$L$300</f>
        <v>60152</v>
      </c>
      <c r="N20" s="43">
        <v>0</v>
      </c>
      <c r="O20" s="43">
        <v>0</v>
      </c>
      <c r="P20" s="78">
        <f t="shared" si="0"/>
        <v>60152</v>
      </c>
      <c r="Q20" s="78"/>
      <c r="R20" s="78"/>
      <c r="S20" s="78"/>
      <c r="T20" s="78"/>
      <c r="U20" s="78"/>
      <c r="V20" s="78"/>
      <c r="W20" s="78">
        <f t="shared" si="3"/>
        <v>60152</v>
      </c>
    </row>
    <row r="21" spans="1:23" ht="52.5" customHeight="1">
      <c r="A21" s="12">
        <v>17</v>
      </c>
      <c r="B21" s="10" t="s">
        <v>236</v>
      </c>
      <c r="C21" s="14" t="s">
        <v>235</v>
      </c>
      <c r="D21" s="6">
        <v>1</v>
      </c>
      <c r="E21" s="8" t="s">
        <v>144</v>
      </c>
      <c r="F21" s="8">
        <v>1</v>
      </c>
      <c r="G21" s="66" t="s">
        <v>397</v>
      </c>
      <c r="H21" s="5" t="s">
        <v>332</v>
      </c>
      <c r="I21" s="28" t="s">
        <v>184</v>
      </c>
      <c r="J21" s="28" t="s">
        <v>1006</v>
      </c>
      <c r="K21" s="310" t="s">
        <v>1019</v>
      </c>
      <c r="L21" s="310" t="s">
        <v>1048</v>
      </c>
      <c r="M21" s="43">
        <f>'Dados Detalhados'!$L$305</f>
        <v>10376</v>
      </c>
      <c r="N21" s="43">
        <v>0</v>
      </c>
      <c r="O21" s="43">
        <v>0</v>
      </c>
      <c r="P21" s="78">
        <f t="shared" si="0"/>
        <v>10376</v>
      </c>
      <c r="Q21" s="78"/>
      <c r="R21" s="78"/>
      <c r="S21" s="78"/>
      <c r="T21" s="78"/>
      <c r="U21" s="78"/>
      <c r="V21" s="78"/>
      <c r="W21" s="78">
        <f t="shared" si="3"/>
        <v>10376</v>
      </c>
    </row>
    <row r="22" spans="1:23" ht="52.5" customHeight="1">
      <c r="A22" s="12">
        <v>18</v>
      </c>
      <c r="B22" s="10" t="s">
        <v>234</v>
      </c>
      <c r="C22" s="14" t="s">
        <v>233</v>
      </c>
      <c r="D22" s="6">
        <v>1</v>
      </c>
      <c r="E22" s="8" t="s">
        <v>389</v>
      </c>
      <c r="F22" s="8">
        <v>2</v>
      </c>
      <c r="G22" s="66" t="s">
        <v>400</v>
      </c>
      <c r="H22" s="5" t="s">
        <v>332</v>
      </c>
      <c r="I22" s="28" t="s">
        <v>184</v>
      </c>
      <c r="J22" s="28" t="s">
        <v>1006</v>
      </c>
      <c r="K22" s="28" t="s">
        <v>1016</v>
      </c>
      <c r="L22" s="28" t="s">
        <v>1049</v>
      </c>
      <c r="M22" s="43">
        <f>'Dados Detalhados'!$L$310</f>
        <v>38152</v>
      </c>
      <c r="N22" s="43">
        <f>'Dados Detalhados'!$L$310</f>
        <v>38152</v>
      </c>
      <c r="O22" s="43">
        <v>0</v>
      </c>
      <c r="P22" s="78">
        <f t="shared" si="0"/>
        <v>76304</v>
      </c>
      <c r="Q22" s="78"/>
      <c r="R22" s="78"/>
      <c r="S22" s="78"/>
      <c r="T22" s="78"/>
      <c r="U22" s="78"/>
      <c r="V22" s="78"/>
      <c r="W22" s="78">
        <f t="shared" si="3"/>
        <v>76304</v>
      </c>
    </row>
    <row r="23" spans="1:23" ht="52.5" customHeight="1">
      <c r="A23" s="12">
        <v>19</v>
      </c>
      <c r="B23" s="10" t="s">
        <v>232</v>
      </c>
      <c r="C23" s="14" t="s">
        <v>1041</v>
      </c>
      <c r="D23" s="6">
        <v>1</v>
      </c>
      <c r="E23" s="8" t="s">
        <v>390</v>
      </c>
      <c r="F23" s="307">
        <v>3</v>
      </c>
      <c r="G23" s="66" t="s">
        <v>399</v>
      </c>
      <c r="H23" s="5" t="s">
        <v>332</v>
      </c>
      <c r="I23" s="28" t="s">
        <v>184</v>
      </c>
      <c r="J23" s="28" t="s">
        <v>1006</v>
      </c>
      <c r="K23" s="310" t="s">
        <v>1019</v>
      </c>
      <c r="L23" s="310" t="s">
        <v>1043</v>
      </c>
      <c r="M23" s="224">
        <f>'Dados Detalhados'!$L$315</f>
        <v>20752</v>
      </c>
      <c r="N23" s="43"/>
      <c r="O23" s="43">
        <v>0</v>
      </c>
      <c r="P23" s="78">
        <f t="shared" si="0"/>
        <v>20752</v>
      </c>
      <c r="Q23" s="78">
        <f t="shared" si="1"/>
        <v>20752</v>
      </c>
      <c r="R23" s="78"/>
      <c r="S23" s="78"/>
      <c r="T23" s="78"/>
      <c r="U23" s="78"/>
      <c r="V23" s="78"/>
      <c r="W23" s="78"/>
    </row>
    <row r="24" spans="1:23" ht="52.5" customHeight="1">
      <c r="A24" s="12">
        <v>20</v>
      </c>
      <c r="B24" s="10" t="s">
        <v>230</v>
      </c>
      <c r="C24" s="14" t="s">
        <v>229</v>
      </c>
      <c r="D24" s="6">
        <v>1</v>
      </c>
      <c r="E24" s="8" t="s">
        <v>390</v>
      </c>
      <c r="F24" s="307">
        <v>3</v>
      </c>
      <c r="G24" s="66" t="s">
        <v>399</v>
      </c>
      <c r="H24" s="5" t="s">
        <v>332</v>
      </c>
      <c r="I24" s="28" t="s">
        <v>184</v>
      </c>
      <c r="J24" s="28" t="s">
        <v>1007</v>
      </c>
      <c r="K24" s="310" t="s">
        <v>1019</v>
      </c>
      <c r="L24" s="310" t="s">
        <v>1044</v>
      </c>
      <c r="M24" s="224">
        <f>'Dados Detalhados'!$L$320</f>
        <v>4103.0599999999995</v>
      </c>
      <c r="N24" s="43">
        <v>0</v>
      </c>
      <c r="O24" s="43">
        <v>0</v>
      </c>
      <c r="P24" s="78">
        <f t="shared" si="0"/>
        <v>4103.0599999999995</v>
      </c>
      <c r="Q24" s="78">
        <f t="shared" si="1"/>
        <v>4103.0599999999995</v>
      </c>
      <c r="R24" s="78"/>
      <c r="S24" s="78"/>
      <c r="T24" s="78"/>
      <c r="U24" s="78"/>
      <c r="V24" s="78"/>
      <c r="W24" s="78"/>
    </row>
    <row r="25" spans="1:23" ht="58.5" customHeight="1">
      <c r="A25" s="12">
        <v>21</v>
      </c>
      <c r="B25" s="10" t="s">
        <v>228</v>
      </c>
      <c r="C25" s="14" t="s">
        <v>227</v>
      </c>
      <c r="D25" s="6">
        <v>2</v>
      </c>
      <c r="E25" s="8" t="s">
        <v>144</v>
      </c>
      <c r="F25" s="307">
        <v>1</v>
      </c>
      <c r="G25" s="66" t="s">
        <v>399</v>
      </c>
      <c r="H25" s="5" t="s">
        <v>332</v>
      </c>
      <c r="I25" s="28" t="s">
        <v>184</v>
      </c>
      <c r="J25" s="28" t="s">
        <v>1007</v>
      </c>
      <c r="K25" s="310" t="s">
        <v>1019</v>
      </c>
      <c r="L25" s="310" t="s">
        <v>1050</v>
      </c>
      <c r="M25" s="43"/>
      <c r="N25" s="43"/>
      <c r="O25" s="43">
        <f>'Dados Detalhados'!$L$320</f>
        <v>4103.0599999999995</v>
      </c>
      <c r="P25" s="78">
        <f t="shared" si="0"/>
        <v>4103.0599999999995</v>
      </c>
      <c r="Q25" s="78"/>
      <c r="R25" s="78"/>
      <c r="S25" s="78"/>
      <c r="T25" s="78"/>
      <c r="U25" s="78"/>
      <c r="V25" s="78"/>
      <c r="W25" s="78">
        <f t="shared" si="3"/>
        <v>4103.0599999999995</v>
      </c>
    </row>
    <row r="26" spans="1:23" ht="52.5" customHeight="1">
      <c r="A26" s="12">
        <v>22</v>
      </c>
      <c r="B26" s="10" t="s">
        <v>226</v>
      </c>
      <c r="C26" s="14" t="s">
        <v>225</v>
      </c>
      <c r="D26" s="6">
        <v>1</v>
      </c>
      <c r="E26" s="8" t="s">
        <v>144</v>
      </c>
      <c r="F26" s="8">
        <v>1</v>
      </c>
      <c r="G26" s="66" t="s">
        <v>397</v>
      </c>
      <c r="H26" s="5" t="s">
        <v>331</v>
      </c>
      <c r="I26" s="28" t="s">
        <v>184</v>
      </c>
      <c r="J26" s="28" t="s">
        <v>1006</v>
      </c>
      <c r="K26" s="28" t="s">
        <v>1015</v>
      </c>
      <c r="L26" s="28"/>
      <c r="M26" s="43">
        <v>0</v>
      </c>
      <c r="N26" s="43">
        <v>0</v>
      </c>
      <c r="O26" s="43">
        <v>0</v>
      </c>
      <c r="P26" s="78">
        <f t="shared" si="0"/>
        <v>0</v>
      </c>
      <c r="Q26" s="78"/>
      <c r="R26" s="78"/>
      <c r="S26" s="78"/>
      <c r="T26" s="78"/>
      <c r="U26" s="78">
        <f t="shared" si="4"/>
        <v>0</v>
      </c>
      <c r="V26" s="78"/>
      <c r="W26" s="78"/>
    </row>
    <row r="27" spans="1:23" ht="52.5" customHeight="1">
      <c r="A27" s="12">
        <v>23</v>
      </c>
      <c r="B27" s="10" t="s">
        <v>2</v>
      </c>
      <c r="C27" s="10" t="s">
        <v>224</v>
      </c>
      <c r="D27" s="6">
        <v>3</v>
      </c>
      <c r="E27" s="8" t="s">
        <v>144</v>
      </c>
      <c r="F27" s="8">
        <v>1</v>
      </c>
      <c r="G27" s="66" t="s">
        <v>397</v>
      </c>
      <c r="H27" s="5" t="s">
        <v>330</v>
      </c>
      <c r="I27" s="28" t="s">
        <v>184</v>
      </c>
      <c r="J27" s="28" t="s">
        <v>1006</v>
      </c>
      <c r="K27" s="28" t="s">
        <v>1015</v>
      </c>
      <c r="L27" s="28" t="s">
        <v>1051</v>
      </c>
      <c r="M27" s="224">
        <f>'Dados Detalhados'!$L$355</f>
        <v>366.67</v>
      </c>
      <c r="N27" s="224">
        <f>'Dados Detalhados'!$L$355</f>
        <v>366.67</v>
      </c>
      <c r="O27" s="224">
        <f>'Dados Detalhados'!$L$355</f>
        <v>366.67</v>
      </c>
      <c r="P27" s="78">
        <f t="shared" si="0"/>
        <v>1100.01</v>
      </c>
      <c r="Q27" s="78">
        <f t="shared" si="1"/>
        <v>1100.01</v>
      </c>
      <c r="R27" s="78"/>
      <c r="S27" s="78"/>
      <c r="T27" s="78"/>
      <c r="U27" s="78"/>
      <c r="V27" s="78"/>
      <c r="W27" s="78"/>
    </row>
    <row r="28" spans="1:23" ht="52.5" customHeight="1">
      <c r="A28" s="12">
        <v>24</v>
      </c>
      <c r="B28" s="10" t="s">
        <v>223</v>
      </c>
      <c r="C28" s="10" t="s">
        <v>222</v>
      </c>
      <c r="D28" s="6">
        <v>1</v>
      </c>
      <c r="E28" s="8" t="s">
        <v>144</v>
      </c>
      <c r="F28" s="8">
        <v>1</v>
      </c>
      <c r="G28" s="66" t="s">
        <v>397</v>
      </c>
      <c r="H28" s="5"/>
      <c r="I28" s="28" t="s">
        <v>184</v>
      </c>
      <c r="J28" s="28" t="s">
        <v>1006</v>
      </c>
      <c r="K28" s="28" t="s">
        <v>1015</v>
      </c>
      <c r="L28" s="28" t="s">
        <v>1052</v>
      </c>
      <c r="M28" s="224">
        <f>'Dados Detalhados'!$L$360</f>
        <v>1450</v>
      </c>
      <c r="N28" s="224">
        <f>'Dados Detalhados'!$L$360</f>
        <v>1450</v>
      </c>
      <c r="O28" s="224">
        <v>5426</v>
      </c>
      <c r="P28" s="78">
        <f t="shared" si="0"/>
        <v>8326</v>
      </c>
      <c r="Q28" s="78">
        <f t="shared" si="1"/>
        <v>8326</v>
      </c>
      <c r="R28" s="78"/>
      <c r="S28" s="78"/>
      <c r="T28" s="78"/>
      <c r="U28" s="78"/>
      <c r="V28" s="78"/>
      <c r="W28" s="78"/>
    </row>
    <row r="29" spans="1:23" ht="52.5" customHeight="1">
      <c r="A29" s="12">
        <v>25</v>
      </c>
      <c r="B29" s="10" t="s">
        <v>221</v>
      </c>
      <c r="C29" s="18" t="s">
        <v>220</v>
      </c>
      <c r="D29" s="6">
        <v>1</v>
      </c>
      <c r="E29" s="8" t="s">
        <v>144</v>
      </c>
      <c r="F29" s="8">
        <v>1</v>
      </c>
      <c r="G29" s="66" t="s">
        <v>398</v>
      </c>
      <c r="H29" s="5" t="s">
        <v>329</v>
      </c>
      <c r="I29" s="28" t="s">
        <v>184</v>
      </c>
      <c r="J29" s="28" t="s">
        <v>1008</v>
      </c>
      <c r="K29" s="28" t="s">
        <v>1015</v>
      </c>
      <c r="L29" s="28" t="s">
        <v>1053</v>
      </c>
      <c r="M29" s="42">
        <f>'Dados Detalhados'!$L$368</f>
        <v>5904.7700000000013</v>
      </c>
      <c r="N29" s="42">
        <f>'Dados Detalhados'!$L$368</f>
        <v>5904.7700000000013</v>
      </c>
      <c r="O29" s="42">
        <f>'Dados Detalhados'!$L$368</f>
        <v>5904.7700000000013</v>
      </c>
      <c r="P29" s="78">
        <f t="shared" si="0"/>
        <v>17714.310000000005</v>
      </c>
      <c r="Q29" s="78"/>
      <c r="R29" s="78"/>
      <c r="S29" s="78"/>
      <c r="T29" s="78"/>
      <c r="U29" s="78"/>
      <c r="V29" s="78"/>
      <c r="W29" s="78">
        <f t="shared" si="3"/>
        <v>17714.310000000005</v>
      </c>
    </row>
    <row r="30" spans="1:23" ht="52.5" customHeight="1">
      <c r="A30" s="12">
        <v>26</v>
      </c>
      <c r="B30" s="11" t="s">
        <v>219</v>
      </c>
      <c r="C30" s="1" t="s">
        <v>889</v>
      </c>
      <c r="D30" s="151">
        <v>1</v>
      </c>
      <c r="E30" s="33" t="s">
        <v>144</v>
      </c>
      <c r="F30" s="8">
        <v>1</v>
      </c>
      <c r="G30" s="66" t="s">
        <v>398</v>
      </c>
      <c r="H30" s="5"/>
      <c r="I30" s="28" t="s">
        <v>184</v>
      </c>
      <c r="J30" s="28" t="s">
        <v>1006</v>
      </c>
      <c r="K30" s="28" t="s">
        <v>1015</v>
      </c>
      <c r="L30" s="28" t="s">
        <v>1054</v>
      </c>
      <c r="M30" s="224">
        <f>'Dados Detalhados'!$L$395</f>
        <v>5074.08</v>
      </c>
      <c r="N30" s="224">
        <f>'Dados Detalhados'!$L$395</f>
        <v>5074.08</v>
      </c>
      <c r="O30" s="224">
        <f>'Dados Detalhados'!$L$395</f>
        <v>5074.08</v>
      </c>
      <c r="P30" s="78">
        <f t="shared" si="0"/>
        <v>15222.24</v>
      </c>
      <c r="Q30" s="78">
        <f t="shared" si="1"/>
        <v>15222.24</v>
      </c>
      <c r="R30" s="78"/>
      <c r="S30" s="78"/>
      <c r="T30" s="78"/>
      <c r="U30" s="78"/>
      <c r="V30" s="78"/>
      <c r="W30" s="78"/>
    </row>
    <row r="31" spans="1:23" ht="52.5" customHeight="1">
      <c r="A31" s="217" t="s">
        <v>890</v>
      </c>
      <c r="B31" s="51" t="s">
        <v>891</v>
      </c>
      <c r="C31" s="20" t="s">
        <v>892</v>
      </c>
      <c r="D31" s="212">
        <v>1</v>
      </c>
      <c r="E31" s="19" t="s">
        <v>144</v>
      </c>
      <c r="F31" s="19">
        <v>1</v>
      </c>
      <c r="G31" s="66" t="s">
        <v>398</v>
      </c>
      <c r="H31" s="216"/>
      <c r="I31" s="31"/>
      <c r="J31" s="31" t="s">
        <v>1006</v>
      </c>
      <c r="K31" s="28" t="s">
        <v>1015</v>
      </c>
      <c r="L31" s="28"/>
      <c r="M31" s="48">
        <f>'Dados Detalhados'!L400</f>
        <v>70573.580274461681</v>
      </c>
      <c r="N31" s="48">
        <f>'Dados Detalhados'!H401</f>
        <v>78101.305366506771</v>
      </c>
      <c r="O31" s="48">
        <f>'Dados Detalhados'!H402</f>
        <v>85911.435903157457</v>
      </c>
      <c r="P31" s="78">
        <f t="shared" si="0"/>
        <v>234586.32154412591</v>
      </c>
      <c r="Q31" s="78"/>
      <c r="R31" s="78"/>
      <c r="S31" s="78"/>
      <c r="T31" s="78"/>
      <c r="U31" s="78">
        <f t="shared" si="4"/>
        <v>234586.32154412591</v>
      </c>
      <c r="V31" s="215"/>
      <c r="W31" s="78"/>
    </row>
    <row r="32" spans="1:23" ht="52.5" customHeight="1">
      <c r="A32" s="12">
        <v>27</v>
      </c>
      <c r="B32" s="10" t="s">
        <v>218</v>
      </c>
      <c r="C32" s="18" t="s">
        <v>217</v>
      </c>
      <c r="D32" s="6">
        <v>1</v>
      </c>
      <c r="E32" s="8" t="s">
        <v>144</v>
      </c>
      <c r="F32" s="8">
        <v>1</v>
      </c>
      <c r="G32" s="66" t="s">
        <v>398</v>
      </c>
      <c r="H32" s="5"/>
      <c r="I32" s="28" t="s">
        <v>184</v>
      </c>
      <c r="J32" s="28" t="s">
        <v>1008</v>
      </c>
      <c r="K32" s="28" t="s">
        <v>1015</v>
      </c>
      <c r="L32" s="28" t="s">
        <v>1055</v>
      </c>
      <c r="M32" s="224">
        <f>'Dados Detalhados'!$L$403</f>
        <v>6306.48</v>
      </c>
      <c r="N32" s="224">
        <f>'Dados Detalhados'!$L$403</f>
        <v>6306.48</v>
      </c>
      <c r="O32" s="224">
        <f>'Dados Detalhados'!$L$403</f>
        <v>6306.48</v>
      </c>
      <c r="P32" s="78">
        <f t="shared" si="0"/>
        <v>18919.439999999999</v>
      </c>
      <c r="Q32" s="78">
        <f t="shared" si="1"/>
        <v>18919.439999999999</v>
      </c>
      <c r="R32" s="78"/>
      <c r="S32" s="78"/>
      <c r="T32" s="78"/>
      <c r="U32" s="78"/>
      <c r="V32" s="78"/>
      <c r="W32" s="78"/>
    </row>
    <row r="33" spans="1:23" ht="52.5" customHeight="1">
      <c r="A33" s="12">
        <v>28</v>
      </c>
      <c r="B33" s="10" t="s">
        <v>215</v>
      </c>
      <c r="C33" s="18" t="s">
        <v>214</v>
      </c>
      <c r="D33" s="6">
        <v>1</v>
      </c>
      <c r="E33" s="8" t="s">
        <v>144</v>
      </c>
      <c r="F33" s="8">
        <v>1</v>
      </c>
      <c r="G33" s="66" t="s">
        <v>398</v>
      </c>
      <c r="H33" s="5"/>
      <c r="I33" s="28" t="s">
        <v>184</v>
      </c>
      <c r="J33" s="28" t="s">
        <v>1008</v>
      </c>
      <c r="K33" s="28" t="s">
        <v>1015</v>
      </c>
      <c r="L33" s="28" t="s">
        <v>1056</v>
      </c>
      <c r="M33" s="224">
        <f>'Dados Detalhados'!$L$406</f>
        <v>8320</v>
      </c>
      <c r="N33" s="224">
        <f>'Dados Detalhados'!$L$406</f>
        <v>8320</v>
      </c>
      <c r="O33" s="224">
        <f>'Dados Detalhados'!$L$406</f>
        <v>8320</v>
      </c>
      <c r="P33" s="78">
        <f t="shared" si="0"/>
        <v>24960</v>
      </c>
      <c r="Q33" s="78">
        <f t="shared" si="1"/>
        <v>24960</v>
      </c>
      <c r="R33" s="78"/>
      <c r="S33" s="78"/>
      <c r="T33" s="78"/>
      <c r="U33" s="78"/>
      <c r="V33" s="78"/>
      <c r="W33" s="78"/>
    </row>
    <row r="34" spans="1:23" ht="52.5" customHeight="1">
      <c r="A34" s="12">
        <v>29</v>
      </c>
      <c r="B34" s="10" t="s">
        <v>213</v>
      </c>
      <c r="C34" s="14" t="s">
        <v>212</v>
      </c>
      <c r="D34" s="6">
        <v>1</v>
      </c>
      <c r="E34" s="8" t="s">
        <v>389</v>
      </c>
      <c r="F34" s="8">
        <v>2</v>
      </c>
      <c r="G34" s="66" t="s">
        <v>398</v>
      </c>
      <c r="H34" s="5"/>
      <c r="I34" s="28" t="s">
        <v>184</v>
      </c>
      <c r="J34" s="28" t="s">
        <v>1008</v>
      </c>
      <c r="K34" s="28" t="s">
        <v>1016</v>
      </c>
      <c r="L34" s="28" t="s">
        <v>1057</v>
      </c>
      <c r="M34" s="224">
        <f>'Dados Detalhados'!$L$409</f>
        <v>32240</v>
      </c>
      <c r="N34" s="43">
        <v>0</v>
      </c>
      <c r="O34" s="43">
        <v>0</v>
      </c>
      <c r="P34" s="78">
        <f t="shared" si="0"/>
        <v>32240</v>
      </c>
      <c r="Q34" s="78">
        <f t="shared" si="1"/>
        <v>32240</v>
      </c>
      <c r="R34" s="78"/>
      <c r="S34" s="78"/>
      <c r="T34" s="78"/>
      <c r="U34" s="78"/>
      <c r="V34" s="78"/>
      <c r="W34" s="78"/>
    </row>
    <row r="35" spans="1:23" ht="58.5" customHeight="1">
      <c r="A35" s="12">
        <v>30</v>
      </c>
      <c r="B35" s="10" t="s">
        <v>211</v>
      </c>
      <c r="C35" s="14" t="s">
        <v>210</v>
      </c>
      <c r="D35" s="6">
        <v>1</v>
      </c>
      <c r="E35" s="8" t="s">
        <v>144</v>
      </c>
      <c r="F35" s="8">
        <v>1</v>
      </c>
      <c r="G35" s="66" t="s">
        <v>398</v>
      </c>
      <c r="H35" s="5"/>
      <c r="I35" s="28" t="s">
        <v>184</v>
      </c>
      <c r="J35" s="28" t="s">
        <v>1008</v>
      </c>
      <c r="K35" s="28" t="s">
        <v>1015</v>
      </c>
      <c r="L35" s="28" t="s">
        <v>1058</v>
      </c>
      <c r="M35" s="224">
        <f>'Dados Detalhados'!$L$412</f>
        <v>23611.11</v>
      </c>
      <c r="N35" s="43">
        <v>0</v>
      </c>
      <c r="O35" s="43">
        <v>0</v>
      </c>
      <c r="P35" s="78">
        <f t="shared" si="0"/>
        <v>23611.11</v>
      </c>
      <c r="Q35" s="78">
        <f t="shared" si="1"/>
        <v>23611.11</v>
      </c>
      <c r="R35" s="78"/>
      <c r="S35" s="78"/>
      <c r="T35" s="78"/>
      <c r="U35" s="78"/>
      <c r="V35" s="78"/>
      <c r="W35" s="78"/>
    </row>
    <row r="36" spans="1:23" ht="52.5" customHeight="1">
      <c r="A36" s="12">
        <v>31</v>
      </c>
      <c r="B36" s="14" t="s">
        <v>209</v>
      </c>
      <c r="C36" s="18" t="s">
        <v>208</v>
      </c>
      <c r="D36" s="6">
        <v>2</v>
      </c>
      <c r="E36" s="8" t="s">
        <v>144</v>
      </c>
      <c r="F36" s="8">
        <v>1</v>
      </c>
      <c r="G36" s="66" t="s">
        <v>398</v>
      </c>
      <c r="H36" s="5"/>
      <c r="I36" s="28" t="s">
        <v>184</v>
      </c>
      <c r="J36" s="28" t="s">
        <v>1008</v>
      </c>
      <c r="K36" s="28" t="s">
        <v>1015</v>
      </c>
      <c r="L36" s="28" t="s">
        <v>1059</v>
      </c>
      <c r="M36" s="42">
        <f>'Dados Detalhados'!$L$417</f>
        <v>1284</v>
      </c>
      <c r="N36" s="42">
        <f>'Dados Detalhados'!$L$417</f>
        <v>1284</v>
      </c>
      <c r="O36" s="42">
        <f>'Dados Detalhados'!$L$417</f>
        <v>1284</v>
      </c>
      <c r="P36" s="78">
        <f t="shared" si="0"/>
        <v>3852</v>
      </c>
      <c r="Q36" s="78"/>
      <c r="R36" s="78"/>
      <c r="S36" s="78"/>
      <c r="T36" s="78"/>
      <c r="U36" s="78"/>
      <c r="V36" s="78"/>
      <c r="W36" s="78">
        <f t="shared" si="3"/>
        <v>3852</v>
      </c>
    </row>
    <row r="37" spans="1:23" ht="52.5" customHeight="1">
      <c r="A37" s="12">
        <v>32</v>
      </c>
      <c r="B37" s="10" t="s">
        <v>207</v>
      </c>
      <c r="C37" s="14" t="s">
        <v>206</v>
      </c>
      <c r="D37" s="6">
        <v>1</v>
      </c>
      <c r="E37" s="8" t="s">
        <v>390</v>
      </c>
      <c r="F37" s="8">
        <v>3</v>
      </c>
      <c r="G37" s="66" t="s">
        <v>399</v>
      </c>
      <c r="H37" s="5"/>
      <c r="I37" s="28" t="s">
        <v>184</v>
      </c>
      <c r="J37" s="28" t="s">
        <v>1008</v>
      </c>
      <c r="K37" s="310" t="s">
        <v>1018</v>
      </c>
      <c r="L37" s="310" t="s">
        <v>1060</v>
      </c>
      <c r="M37" s="224">
        <f>'Dados Detalhados'!$L$419</f>
        <v>7000</v>
      </c>
      <c r="N37" s="43">
        <v>0</v>
      </c>
      <c r="O37" s="43">
        <v>0</v>
      </c>
      <c r="P37" s="78">
        <f t="shared" si="0"/>
        <v>7000</v>
      </c>
      <c r="Q37" s="78">
        <f>+P37</f>
        <v>7000</v>
      </c>
      <c r="R37" s="78"/>
      <c r="S37" s="78"/>
      <c r="T37" s="78"/>
      <c r="U37" s="78"/>
      <c r="V37" s="78"/>
      <c r="W37" s="78"/>
    </row>
    <row r="38" spans="1:23" ht="52.5" customHeight="1">
      <c r="A38" s="12">
        <v>33</v>
      </c>
      <c r="B38" s="10" t="s">
        <v>205</v>
      </c>
      <c r="C38" s="14" t="s">
        <v>204</v>
      </c>
      <c r="D38" s="6">
        <v>1</v>
      </c>
      <c r="E38" s="8" t="s">
        <v>390</v>
      </c>
      <c r="F38" s="8">
        <v>3</v>
      </c>
      <c r="G38" s="66" t="s">
        <v>399</v>
      </c>
      <c r="H38" s="5"/>
      <c r="I38" s="28" t="s">
        <v>184</v>
      </c>
      <c r="J38" s="28" t="s">
        <v>1008</v>
      </c>
      <c r="K38" s="28" t="s">
        <v>1015</v>
      </c>
      <c r="L38" s="28" t="s">
        <v>1061</v>
      </c>
      <c r="M38" s="224">
        <f>'Dados Detalhados'!$L$421</f>
        <v>5100</v>
      </c>
      <c r="N38" s="43"/>
      <c r="O38" s="43">
        <f>'Dados Detalhados'!$L$421</f>
        <v>5100</v>
      </c>
      <c r="P38" s="78">
        <f t="shared" si="0"/>
        <v>10200</v>
      </c>
      <c r="Q38" s="78">
        <f t="shared" si="1"/>
        <v>10200</v>
      </c>
      <c r="R38" s="78"/>
      <c r="S38" s="78"/>
      <c r="T38" s="78"/>
      <c r="U38" s="78"/>
      <c r="V38" s="78"/>
      <c r="W38" s="78"/>
    </row>
    <row r="39" spans="1:23" ht="52.5" customHeight="1">
      <c r="A39" s="12">
        <v>34</v>
      </c>
      <c r="B39" s="10" t="s">
        <v>203</v>
      </c>
      <c r="C39" s="14" t="s">
        <v>202</v>
      </c>
      <c r="D39" s="6">
        <v>1</v>
      </c>
      <c r="E39" s="8" t="s">
        <v>390</v>
      </c>
      <c r="F39" s="8">
        <v>3</v>
      </c>
      <c r="G39" s="66" t="s">
        <v>399</v>
      </c>
      <c r="H39" s="5"/>
      <c r="I39" s="28" t="s">
        <v>184</v>
      </c>
      <c r="J39" s="28" t="s">
        <v>1008</v>
      </c>
      <c r="K39" s="28" t="s">
        <v>1015</v>
      </c>
      <c r="L39" s="28" t="s">
        <v>202</v>
      </c>
      <c r="M39" s="224">
        <f>'Dados Detalhados'!$L$423</f>
        <v>700</v>
      </c>
      <c r="N39" s="43">
        <f>'Dados Detalhados'!$L$423</f>
        <v>700</v>
      </c>
      <c r="O39" s="43">
        <f>'Dados Detalhados'!$L$423</f>
        <v>700</v>
      </c>
      <c r="P39" s="78">
        <f t="shared" si="0"/>
        <v>2100</v>
      </c>
      <c r="Q39" s="78">
        <f t="shared" si="1"/>
        <v>2100</v>
      </c>
      <c r="R39" s="78"/>
      <c r="S39" s="78"/>
      <c r="T39" s="78"/>
      <c r="U39" s="78"/>
      <c r="V39" s="78"/>
      <c r="W39" s="78"/>
    </row>
    <row r="40" spans="1:23" ht="67.5" customHeight="1">
      <c r="A40" s="12">
        <v>35</v>
      </c>
      <c r="B40" s="10" t="s">
        <v>200</v>
      </c>
      <c r="C40" s="14" t="s">
        <v>199</v>
      </c>
      <c r="D40" s="6">
        <v>2</v>
      </c>
      <c r="E40" s="8" t="s">
        <v>144</v>
      </c>
      <c r="F40" s="8">
        <v>1</v>
      </c>
      <c r="G40" s="66" t="s">
        <v>398</v>
      </c>
      <c r="H40" s="5"/>
      <c r="I40" s="28" t="s">
        <v>184</v>
      </c>
      <c r="J40" s="28" t="s">
        <v>1008</v>
      </c>
      <c r="K40" s="310" t="s">
        <v>1019</v>
      </c>
      <c r="L40" s="310" t="s">
        <v>565</v>
      </c>
      <c r="M40" s="43">
        <v>0</v>
      </c>
      <c r="N40" s="43">
        <v>0</v>
      </c>
      <c r="O40" s="43">
        <v>0</v>
      </c>
      <c r="P40" s="78">
        <f t="shared" si="0"/>
        <v>0</v>
      </c>
      <c r="Q40" s="78">
        <f t="shared" si="1"/>
        <v>0</v>
      </c>
      <c r="R40" s="78"/>
      <c r="S40" s="78"/>
      <c r="T40" s="78"/>
      <c r="U40" s="78"/>
      <c r="V40" s="78"/>
      <c r="W40" s="78"/>
    </row>
    <row r="41" spans="1:23" ht="52.5" customHeight="1">
      <c r="A41" s="12">
        <v>36</v>
      </c>
      <c r="B41" s="10" t="s">
        <v>198</v>
      </c>
      <c r="C41" s="14" t="s">
        <v>197</v>
      </c>
      <c r="D41" s="6">
        <v>3</v>
      </c>
      <c r="E41" s="8" t="s">
        <v>144</v>
      </c>
      <c r="F41" s="8">
        <v>1</v>
      </c>
      <c r="G41" s="66" t="s">
        <v>397</v>
      </c>
      <c r="H41" s="5"/>
      <c r="I41" s="28" t="s">
        <v>184</v>
      </c>
      <c r="J41" s="28" t="s">
        <v>1006</v>
      </c>
      <c r="K41" s="28" t="s">
        <v>1015</v>
      </c>
      <c r="L41" s="28" t="s">
        <v>1062</v>
      </c>
      <c r="M41" s="43">
        <f>'Dados Detalhados'!$L$428</f>
        <v>16825</v>
      </c>
      <c r="N41" s="43">
        <v>0</v>
      </c>
      <c r="O41" s="43">
        <v>0</v>
      </c>
      <c r="P41" s="78">
        <f t="shared" si="0"/>
        <v>16825</v>
      </c>
      <c r="Q41" s="78"/>
      <c r="R41" s="78"/>
      <c r="S41" s="78"/>
      <c r="T41" s="78"/>
      <c r="U41" s="78"/>
      <c r="V41" s="78"/>
      <c r="W41" s="78">
        <f t="shared" si="3"/>
        <v>16825</v>
      </c>
    </row>
    <row r="42" spans="1:23" ht="52.5" customHeight="1">
      <c r="A42" s="12">
        <v>37</v>
      </c>
      <c r="B42" s="27" t="s">
        <v>196</v>
      </c>
      <c r="C42" s="14" t="s">
        <v>195</v>
      </c>
      <c r="D42" s="6">
        <v>1</v>
      </c>
      <c r="E42" s="8" t="s">
        <v>389</v>
      </c>
      <c r="F42" s="8">
        <v>2</v>
      </c>
      <c r="G42" s="66" t="s">
        <v>397</v>
      </c>
      <c r="H42" s="5" t="s">
        <v>328</v>
      </c>
      <c r="I42" s="28" t="s">
        <v>184</v>
      </c>
      <c r="J42" s="28" t="s">
        <v>1009</v>
      </c>
      <c r="K42" s="28" t="s">
        <v>1016</v>
      </c>
      <c r="L42" s="28" t="s">
        <v>1063</v>
      </c>
      <c r="M42" s="224">
        <f>'Dados Detalhados'!$L$433</f>
        <v>2313.6899999999996</v>
      </c>
      <c r="N42" s="224">
        <f>'Dados Detalhados'!$L$433</f>
        <v>2313.6899999999996</v>
      </c>
      <c r="O42" s="224">
        <f>'Dados Detalhados'!$L$433</f>
        <v>2313.6899999999996</v>
      </c>
      <c r="P42" s="78">
        <f t="shared" si="0"/>
        <v>6941.0699999999988</v>
      </c>
      <c r="Q42" s="78">
        <f t="shared" si="1"/>
        <v>6941.0699999999988</v>
      </c>
      <c r="R42" s="78"/>
      <c r="S42" s="78"/>
      <c r="T42" s="78"/>
      <c r="U42" s="78"/>
      <c r="V42" s="78"/>
      <c r="W42" s="78"/>
    </row>
    <row r="43" spans="1:23" ht="52.5" customHeight="1">
      <c r="A43" s="12">
        <v>38</v>
      </c>
      <c r="B43" s="10" t="s">
        <v>194</v>
      </c>
      <c r="C43" s="14" t="s">
        <v>193</v>
      </c>
      <c r="D43" s="6">
        <v>1</v>
      </c>
      <c r="E43" s="8" t="s">
        <v>390</v>
      </c>
      <c r="F43" s="8">
        <v>3</v>
      </c>
      <c r="G43" s="66" t="s">
        <v>398</v>
      </c>
      <c r="H43" s="5"/>
      <c r="I43" s="28" t="s">
        <v>184</v>
      </c>
      <c r="J43" s="28" t="s">
        <v>1009</v>
      </c>
      <c r="K43" s="28" t="s">
        <v>1015</v>
      </c>
      <c r="L43" s="28" t="s">
        <v>1064</v>
      </c>
      <c r="M43" s="224">
        <f>'Dados Detalhados'!$L$450</f>
        <v>1713.6</v>
      </c>
      <c r="N43" s="224">
        <f>'Dados Detalhados'!$L$450</f>
        <v>1713.6</v>
      </c>
      <c r="O43" s="224">
        <f>'Dados Detalhados'!$L$450</f>
        <v>1713.6</v>
      </c>
      <c r="P43" s="78">
        <f t="shared" si="0"/>
        <v>5140.7999999999993</v>
      </c>
      <c r="Q43" s="78">
        <f t="shared" si="1"/>
        <v>5140.7999999999993</v>
      </c>
      <c r="R43" s="78"/>
      <c r="S43" s="78"/>
      <c r="T43" s="78"/>
      <c r="U43" s="78"/>
      <c r="V43" s="78"/>
      <c r="W43" s="78"/>
    </row>
    <row r="44" spans="1:23" ht="52.5" customHeight="1">
      <c r="A44" s="12">
        <v>39</v>
      </c>
      <c r="B44" s="10" t="s">
        <v>192</v>
      </c>
      <c r="C44" s="14" t="s">
        <v>191</v>
      </c>
      <c r="D44" s="6">
        <v>1</v>
      </c>
      <c r="E44" s="8" t="s">
        <v>390</v>
      </c>
      <c r="F44" s="8">
        <v>3</v>
      </c>
      <c r="G44" s="66" t="s">
        <v>398</v>
      </c>
      <c r="H44" s="5"/>
      <c r="I44" s="28" t="s">
        <v>184</v>
      </c>
      <c r="J44" s="28" t="s">
        <v>1006</v>
      </c>
      <c r="K44" s="28" t="s">
        <v>1015</v>
      </c>
      <c r="L44" s="28" t="s">
        <v>1065</v>
      </c>
      <c r="M44" s="48">
        <f>'Dados Detalhados'!$L$453</f>
        <v>400</v>
      </c>
      <c r="N44" s="48">
        <f>'Dados Detalhados'!$L$453</f>
        <v>400</v>
      </c>
      <c r="O44" s="48">
        <f>'Dados Detalhados'!$L$453</f>
        <v>400</v>
      </c>
      <c r="P44" s="78">
        <f t="shared" si="0"/>
        <v>1200</v>
      </c>
      <c r="Q44" s="78"/>
      <c r="R44" s="78"/>
      <c r="S44" s="78"/>
      <c r="T44" s="78"/>
      <c r="U44" s="78">
        <f t="shared" si="4"/>
        <v>1200</v>
      </c>
      <c r="V44" s="78"/>
      <c r="W44" s="78"/>
    </row>
    <row r="45" spans="1:23" ht="52.5" customHeight="1">
      <c r="A45" s="12">
        <v>40</v>
      </c>
      <c r="B45" s="60" t="s">
        <v>190</v>
      </c>
      <c r="C45" s="60" t="s">
        <v>189</v>
      </c>
      <c r="D45" s="6">
        <v>1</v>
      </c>
      <c r="E45" s="8" t="s">
        <v>144</v>
      </c>
      <c r="F45" s="8">
        <v>1</v>
      </c>
      <c r="G45" s="66" t="s">
        <v>398</v>
      </c>
      <c r="H45" s="5"/>
      <c r="I45" s="28" t="s">
        <v>184</v>
      </c>
      <c r="J45" s="28" t="s">
        <v>1009</v>
      </c>
      <c r="K45" s="310" t="s">
        <v>1019</v>
      </c>
      <c r="L45" s="310" t="s">
        <v>1066</v>
      </c>
      <c r="M45" s="224">
        <f>'Dados Detalhados'!$L$455</f>
        <v>16084</v>
      </c>
      <c r="N45" s="43">
        <v>0</v>
      </c>
      <c r="O45" s="43">
        <v>0</v>
      </c>
      <c r="P45" s="78">
        <f t="shared" si="0"/>
        <v>16084</v>
      </c>
      <c r="Q45" s="78">
        <f t="shared" si="1"/>
        <v>16084</v>
      </c>
      <c r="R45" s="78"/>
      <c r="S45" s="78"/>
      <c r="T45" s="78"/>
      <c r="U45" s="78"/>
      <c r="V45" s="78"/>
      <c r="W45" s="78"/>
    </row>
    <row r="46" spans="1:23" ht="52.5" customHeight="1">
      <c r="A46" s="12">
        <v>41</v>
      </c>
      <c r="B46" s="60" t="s">
        <v>188</v>
      </c>
      <c r="C46" s="60" t="s">
        <v>187</v>
      </c>
      <c r="D46" s="6">
        <v>1</v>
      </c>
      <c r="E46" s="8" t="s">
        <v>144</v>
      </c>
      <c r="F46" s="8">
        <v>1</v>
      </c>
      <c r="G46" s="66" t="s">
        <v>398</v>
      </c>
      <c r="H46" s="5"/>
      <c r="I46" s="28" t="s">
        <v>184</v>
      </c>
      <c r="J46" s="28" t="s">
        <v>1007</v>
      </c>
      <c r="K46" s="310" t="s">
        <v>1019</v>
      </c>
      <c r="L46" s="310" t="s">
        <v>1067</v>
      </c>
      <c r="M46" s="224">
        <f>'Dados Detalhados'!$L$457</f>
        <v>5748.5</v>
      </c>
      <c r="N46" s="43">
        <v>0</v>
      </c>
      <c r="O46" s="43">
        <v>5748.5</v>
      </c>
      <c r="P46" s="78">
        <f t="shared" si="0"/>
        <v>11497</v>
      </c>
      <c r="Q46" s="78">
        <f t="shared" si="1"/>
        <v>11497</v>
      </c>
      <c r="R46" s="78"/>
      <c r="S46" s="78"/>
      <c r="T46" s="78"/>
      <c r="U46" s="78"/>
      <c r="V46" s="78"/>
      <c r="W46" s="78"/>
    </row>
    <row r="47" spans="1:23" ht="52.5" customHeight="1">
      <c r="A47" s="12">
        <v>42</v>
      </c>
      <c r="B47" s="10" t="s">
        <v>186</v>
      </c>
      <c r="C47" s="14" t="s">
        <v>185</v>
      </c>
      <c r="D47" s="6">
        <v>3</v>
      </c>
      <c r="E47" s="8" t="s">
        <v>144</v>
      </c>
      <c r="F47" s="8">
        <v>1</v>
      </c>
      <c r="G47" s="66" t="s">
        <v>397</v>
      </c>
      <c r="H47" s="5"/>
      <c r="I47" s="28" t="s">
        <v>184</v>
      </c>
      <c r="J47" s="28" t="s">
        <v>1007</v>
      </c>
      <c r="K47" s="310" t="s">
        <v>1016</v>
      </c>
      <c r="L47" s="310" t="s">
        <v>1068</v>
      </c>
      <c r="M47" s="43">
        <f>'Dados Detalhados'!$L$475</f>
        <v>4411.3900000000003</v>
      </c>
      <c r="N47" s="43">
        <v>0</v>
      </c>
      <c r="O47" s="43">
        <v>0</v>
      </c>
      <c r="P47" s="78">
        <f t="shared" si="0"/>
        <v>4411.3900000000003</v>
      </c>
      <c r="Q47" s="78"/>
      <c r="R47" s="78"/>
      <c r="S47" s="78"/>
      <c r="T47" s="78"/>
      <c r="U47" s="78"/>
      <c r="V47" s="78"/>
      <c r="W47" s="78">
        <f t="shared" si="3"/>
        <v>4411.3900000000003</v>
      </c>
    </row>
    <row r="48" spans="1:23" s="156" customFormat="1" ht="52.5" customHeight="1">
      <c r="A48" s="150">
        <v>43</v>
      </c>
      <c r="B48" s="11" t="s">
        <v>183</v>
      </c>
      <c r="C48" s="11" t="s">
        <v>182</v>
      </c>
      <c r="D48" s="151">
        <v>1</v>
      </c>
      <c r="E48" s="33" t="s">
        <v>389</v>
      </c>
      <c r="F48" s="33">
        <v>2</v>
      </c>
      <c r="G48" s="66" t="s">
        <v>400</v>
      </c>
      <c r="H48" s="153" t="s">
        <v>327</v>
      </c>
      <c r="I48" s="50" t="s">
        <v>165</v>
      </c>
      <c r="J48" s="50" t="s">
        <v>1006</v>
      </c>
      <c r="K48" s="50" t="s">
        <v>1016</v>
      </c>
      <c r="L48" s="353" t="s">
        <v>590</v>
      </c>
      <c r="M48" s="43"/>
      <c r="N48" s="43"/>
      <c r="O48" s="43"/>
      <c r="P48" s="78">
        <f t="shared" si="0"/>
        <v>0</v>
      </c>
      <c r="Q48" s="78">
        <f t="shared" si="1"/>
        <v>0</v>
      </c>
      <c r="R48" s="78"/>
      <c r="S48" s="78"/>
      <c r="T48" s="78"/>
      <c r="U48" s="78"/>
      <c r="V48" s="152"/>
      <c r="W48" s="78"/>
    </row>
    <row r="49" spans="1:23" ht="52.5" customHeight="1">
      <c r="A49" s="12">
        <v>44</v>
      </c>
      <c r="B49" s="10" t="s">
        <v>180</v>
      </c>
      <c r="C49" s="14" t="s">
        <v>181</v>
      </c>
      <c r="D49" s="6">
        <v>1</v>
      </c>
      <c r="E49" s="8" t="s">
        <v>389</v>
      </c>
      <c r="F49" s="8">
        <v>2</v>
      </c>
      <c r="G49" s="66" t="s">
        <v>400</v>
      </c>
      <c r="H49" s="5" t="s">
        <v>326</v>
      </c>
      <c r="I49" s="28" t="s">
        <v>165</v>
      </c>
      <c r="J49" s="28" t="s">
        <v>1006</v>
      </c>
      <c r="K49" s="28" t="s">
        <v>1016</v>
      </c>
      <c r="L49" s="353" t="s">
        <v>1069</v>
      </c>
      <c r="M49" s="43">
        <v>0</v>
      </c>
      <c r="N49" s="43">
        <v>0</v>
      </c>
      <c r="O49" s="43">
        <v>0</v>
      </c>
      <c r="P49" s="78">
        <f t="shared" si="0"/>
        <v>0</v>
      </c>
      <c r="Q49" s="78">
        <f t="shared" si="1"/>
        <v>0</v>
      </c>
      <c r="R49" s="78"/>
      <c r="S49" s="78"/>
      <c r="T49" s="78"/>
      <c r="U49" s="78"/>
      <c r="V49" s="78"/>
      <c r="W49" s="78"/>
    </row>
    <row r="50" spans="1:23" ht="52.5" customHeight="1">
      <c r="A50" s="12">
        <v>45</v>
      </c>
      <c r="B50" s="10" t="s">
        <v>179</v>
      </c>
      <c r="C50" s="14" t="s">
        <v>178</v>
      </c>
      <c r="D50" s="6">
        <v>1</v>
      </c>
      <c r="E50" s="8" t="s">
        <v>389</v>
      </c>
      <c r="F50" s="8">
        <v>2</v>
      </c>
      <c r="G50" s="66" t="s">
        <v>400</v>
      </c>
      <c r="H50" s="5"/>
      <c r="I50" s="28" t="s">
        <v>165</v>
      </c>
      <c r="J50" s="28" t="s">
        <v>1006</v>
      </c>
      <c r="K50" s="28" t="s">
        <v>1016</v>
      </c>
      <c r="L50" s="353" t="s">
        <v>1070</v>
      </c>
      <c r="M50" s="43"/>
      <c r="N50" s="224">
        <f>'Dados Detalhados'!$L$504</f>
        <v>3356.39</v>
      </c>
      <c r="O50" s="43">
        <v>0</v>
      </c>
      <c r="P50" s="78">
        <f t="shared" si="0"/>
        <v>3356.39</v>
      </c>
      <c r="Q50" s="78">
        <f t="shared" si="1"/>
        <v>3356.39</v>
      </c>
      <c r="R50" s="78"/>
      <c r="S50" s="78"/>
      <c r="T50" s="78"/>
      <c r="U50" s="78"/>
      <c r="V50" s="78"/>
      <c r="W50" s="78"/>
    </row>
    <row r="51" spans="1:23" ht="52.5" customHeight="1">
      <c r="A51" s="12">
        <v>46</v>
      </c>
      <c r="B51" s="10" t="s">
        <v>177</v>
      </c>
      <c r="C51" s="14" t="s">
        <v>176</v>
      </c>
      <c r="D51" s="6">
        <v>1</v>
      </c>
      <c r="E51" s="8" t="s">
        <v>389</v>
      </c>
      <c r="F51" s="8">
        <v>2</v>
      </c>
      <c r="G51" s="66" t="s">
        <v>400</v>
      </c>
      <c r="H51" s="5"/>
      <c r="I51" s="28" t="s">
        <v>165</v>
      </c>
      <c r="J51" s="28" t="s">
        <v>1006</v>
      </c>
      <c r="K51" s="28" t="s">
        <v>1016</v>
      </c>
      <c r="L51" s="353"/>
      <c r="M51" s="42">
        <f>'Dados Detalhados'!$L$514</f>
        <v>0</v>
      </c>
      <c r="N51" s="42">
        <f>'Dados Detalhados'!$L$514</f>
        <v>0</v>
      </c>
      <c r="O51" s="42">
        <f>'Dados Detalhados'!$L$514</f>
        <v>0</v>
      </c>
      <c r="P51" s="78">
        <f t="shared" si="0"/>
        <v>0</v>
      </c>
      <c r="Q51" s="78">
        <f t="shared" si="1"/>
        <v>0</v>
      </c>
      <c r="R51" s="78">
        <f t="shared" si="5"/>
        <v>0</v>
      </c>
      <c r="S51" s="78">
        <f t="shared" si="2"/>
        <v>0</v>
      </c>
      <c r="T51" s="78">
        <f t="shared" si="6"/>
        <v>0</v>
      </c>
      <c r="U51" s="78">
        <f t="shared" si="4"/>
        <v>0</v>
      </c>
      <c r="V51" s="78"/>
      <c r="W51" s="78">
        <f t="shared" si="3"/>
        <v>0</v>
      </c>
    </row>
    <row r="52" spans="1:23" ht="52.5" customHeight="1">
      <c r="A52" s="12">
        <v>47</v>
      </c>
      <c r="B52" s="10" t="s">
        <v>175</v>
      </c>
      <c r="C52" s="14" t="s">
        <v>174</v>
      </c>
      <c r="D52" s="6">
        <v>2</v>
      </c>
      <c r="E52" s="8" t="s">
        <v>389</v>
      </c>
      <c r="F52" s="8">
        <v>2</v>
      </c>
      <c r="G52" s="66" t="s">
        <v>400</v>
      </c>
      <c r="H52" s="5" t="s">
        <v>325</v>
      </c>
      <c r="I52" s="28" t="s">
        <v>165</v>
      </c>
      <c r="J52" s="28" t="s">
        <v>1006</v>
      </c>
      <c r="K52" s="28" t="s">
        <v>1016</v>
      </c>
      <c r="L52" s="353" t="s">
        <v>1071</v>
      </c>
      <c r="M52" s="43">
        <v>0</v>
      </c>
      <c r="N52" s="43">
        <v>0</v>
      </c>
      <c r="O52" s="43">
        <v>0</v>
      </c>
      <c r="P52" s="78">
        <f t="shared" si="0"/>
        <v>0</v>
      </c>
      <c r="Q52" s="78"/>
      <c r="R52" s="78"/>
      <c r="S52" s="78">
        <f t="shared" si="2"/>
        <v>0</v>
      </c>
      <c r="T52" s="78"/>
      <c r="U52" s="78"/>
      <c r="V52" s="78"/>
      <c r="W52" s="78"/>
    </row>
    <row r="53" spans="1:23" ht="52.5" customHeight="1">
      <c r="A53" s="12">
        <v>48</v>
      </c>
      <c r="B53" s="10" t="s">
        <v>173</v>
      </c>
      <c r="C53" s="14" t="s">
        <v>172</v>
      </c>
      <c r="D53" s="6">
        <v>3</v>
      </c>
      <c r="E53" s="8" t="s">
        <v>389</v>
      </c>
      <c r="F53" s="8">
        <v>2</v>
      </c>
      <c r="G53" s="66" t="s">
        <v>400</v>
      </c>
      <c r="H53" s="5" t="s">
        <v>324</v>
      </c>
      <c r="I53" s="28" t="s">
        <v>165</v>
      </c>
      <c r="J53" s="28" t="s">
        <v>1006</v>
      </c>
      <c r="K53" s="28" t="s">
        <v>1016</v>
      </c>
      <c r="L53" s="353" t="s">
        <v>646</v>
      </c>
      <c r="M53" s="224">
        <f>'Dados Detalhados'!$L$520</f>
        <v>1593.33</v>
      </c>
      <c r="N53" s="224">
        <f>'Dados Detalhados'!$L$520</f>
        <v>1593.33</v>
      </c>
      <c r="O53" s="224">
        <f>'Dados Detalhados'!$L$520</f>
        <v>1593.33</v>
      </c>
      <c r="P53" s="78">
        <f t="shared" si="0"/>
        <v>4779.99</v>
      </c>
      <c r="Q53" s="78">
        <f t="shared" si="1"/>
        <v>4779.99</v>
      </c>
      <c r="R53" s="78"/>
      <c r="S53" s="78"/>
      <c r="T53" s="78"/>
      <c r="U53" s="78"/>
      <c r="V53" s="78"/>
      <c r="W53" s="78"/>
    </row>
    <row r="54" spans="1:23" ht="52.5" customHeight="1">
      <c r="A54" s="12">
        <v>49</v>
      </c>
      <c r="B54" s="10" t="s">
        <v>171</v>
      </c>
      <c r="C54" s="14" t="s">
        <v>170</v>
      </c>
      <c r="D54" s="6">
        <v>1</v>
      </c>
      <c r="E54" s="8" t="s">
        <v>389</v>
      </c>
      <c r="F54" s="8">
        <v>2</v>
      </c>
      <c r="G54" s="66" t="s">
        <v>400</v>
      </c>
      <c r="H54" s="5" t="s">
        <v>323</v>
      </c>
      <c r="I54" s="28" t="s">
        <v>165</v>
      </c>
      <c r="J54" s="28" t="s">
        <v>1006</v>
      </c>
      <c r="K54" s="28" t="s">
        <v>1016</v>
      </c>
      <c r="L54" s="353" t="s">
        <v>1072</v>
      </c>
      <c r="M54" s="43"/>
      <c r="N54" s="224">
        <f>'Dados Detalhados'!$L$527</f>
        <v>20261.940000000002</v>
      </c>
      <c r="O54" s="43">
        <v>0</v>
      </c>
      <c r="P54" s="78">
        <f t="shared" si="0"/>
        <v>20261.940000000002</v>
      </c>
      <c r="Q54" s="78">
        <f t="shared" si="1"/>
        <v>20261.940000000002</v>
      </c>
      <c r="R54" s="78"/>
      <c r="S54" s="78"/>
      <c r="T54" s="78"/>
      <c r="U54" s="78"/>
      <c r="V54" s="78"/>
      <c r="W54" s="78"/>
    </row>
    <row r="55" spans="1:23" ht="52.5" customHeight="1">
      <c r="A55" s="12">
        <v>50</v>
      </c>
      <c r="B55" s="10" t="s">
        <v>169</v>
      </c>
      <c r="C55" s="14" t="s">
        <v>168</v>
      </c>
      <c r="D55" s="6">
        <v>3</v>
      </c>
      <c r="E55" s="8" t="s">
        <v>389</v>
      </c>
      <c r="F55" s="8">
        <v>2</v>
      </c>
      <c r="G55" s="66" t="s">
        <v>400</v>
      </c>
      <c r="H55" s="5" t="s">
        <v>322</v>
      </c>
      <c r="I55" s="28" t="s">
        <v>165</v>
      </c>
      <c r="J55" s="28" t="s">
        <v>1006</v>
      </c>
      <c r="K55" s="28" t="s">
        <v>1016</v>
      </c>
      <c r="L55" s="353" t="s">
        <v>1073</v>
      </c>
      <c r="M55" s="224">
        <f>'Dados Detalhados'!$L$539</f>
        <v>3141.11</v>
      </c>
      <c r="N55" s="47"/>
      <c r="O55" s="47">
        <f>'Dados Detalhados'!$L$539</f>
        <v>3141.11</v>
      </c>
      <c r="P55" s="78">
        <f t="shared" si="0"/>
        <v>6282.22</v>
      </c>
      <c r="Q55" s="78">
        <f t="shared" si="1"/>
        <v>6282.22</v>
      </c>
      <c r="R55" s="78"/>
      <c r="S55" s="78"/>
      <c r="T55" s="78"/>
      <c r="U55" s="78"/>
      <c r="V55" s="78"/>
      <c r="W55" s="78"/>
    </row>
    <row r="56" spans="1:23" ht="52.5" customHeight="1">
      <c r="A56" s="12">
        <v>51</v>
      </c>
      <c r="B56" s="10" t="s">
        <v>167</v>
      </c>
      <c r="C56" s="14" t="s">
        <v>166</v>
      </c>
      <c r="D56" s="6">
        <v>3</v>
      </c>
      <c r="E56" s="8" t="s">
        <v>389</v>
      </c>
      <c r="F56" s="8">
        <v>2</v>
      </c>
      <c r="G56" s="66" t="s">
        <v>400</v>
      </c>
      <c r="H56" s="5" t="s">
        <v>321</v>
      </c>
      <c r="I56" s="28" t="s">
        <v>165</v>
      </c>
      <c r="J56" s="28" t="s">
        <v>1006</v>
      </c>
      <c r="K56" s="28" t="s">
        <v>1016</v>
      </c>
      <c r="L56" s="353" t="s">
        <v>745</v>
      </c>
      <c r="M56" s="224">
        <f>'Dados Detalhados'!$L$551</f>
        <v>374.67</v>
      </c>
      <c r="N56" s="224">
        <f>'Dados Detalhados'!$L$551</f>
        <v>374.67</v>
      </c>
      <c r="O56" s="224">
        <f>'Dados Detalhados'!$L$551</f>
        <v>374.67</v>
      </c>
      <c r="P56" s="78">
        <f t="shared" si="0"/>
        <v>1124.01</v>
      </c>
      <c r="Q56" s="78">
        <f t="shared" si="1"/>
        <v>1124.01</v>
      </c>
      <c r="R56" s="78"/>
      <c r="S56" s="78"/>
      <c r="T56" s="78"/>
      <c r="U56" s="78"/>
      <c r="V56" s="78"/>
      <c r="W56" s="78"/>
    </row>
    <row r="57" spans="1:23" ht="52.5" customHeight="1">
      <c r="A57" s="12">
        <v>52</v>
      </c>
      <c r="B57" s="10" t="s">
        <v>164</v>
      </c>
      <c r="C57" s="14" t="s">
        <v>163</v>
      </c>
      <c r="D57" s="6">
        <v>1</v>
      </c>
      <c r="E57" s="8" t="s">
        <v>390</v>
      </c>
      <c r="F57" s="8">
        <v>3</v>
      </c>
      <c r="G57" s="66" t="s">
        <v>403</v>
      </c>
      <c r="H57" s="5" t="s">
        <v>320</v>
      </c>
      <c r="I57" s="28" t="s">
        <v>143</v>
      </c>
      <c r="J57" s="28" t="s">
        <v>1010</v>
      </c>
      <c r="K57" s="310" t="s">
        <v>1020</v>
      </c>
      <c r="L57" s="314" t="s">
        <v>1074</v>
      </c>
      <c r="M57" s="224">
        <f>'Dados Detalhados'!$L$556</f>
        <v>3722.2200000000003</v>
      </c>
      <c r="N57" s="224">
        <f>'Dados Detalhados'!$L$556</f>
        <v>3722.2200000000003</v>
      </c>
      <c r="O57" s="224">
        <f>'Dados Detalhados'!$L$556</f>
        <v>3722.2200000000003</v>
      </c>
      <c r="P57" s="78">
        <f t="shared" si="0"/>
        <v>11166.66</v>
      </c>
      <c r="Q57" s="78">
        <f t="shared" si="1"/>
        <v>11166.66</v>
      </c>
      <c r="R57" s="78"/>
      <c r="S57" s="78"/>
      <c r="T57" s="78"/>
      <c r="U57" s="78"/>
      <c r="V57" s="78"/>
      <c r="W57" s="78"/>
    </row>
    <row r="58" spans="1:23" ht="52.5" customHeight="1">
      <c r="A58" s="12">
        <v>53</v>
      </c>
      <c r="B58" s="10" t="s">
        <v>162</v>
      </c>
      <c r="C58" s="14" t="s">
        <v>161</v>
      </c>
      <c r="D58" s="6">
        <v>1</v>
      </c>
      <c r="E58" s="8" t="s">
        <v>390</v>
      </c>
      <c r="F58" s="8">
        <v>3</v>
      </c>
      <c r="G58" s="66" t="s">
        <v>403</v>
      </c>
      <c r="H58" s="5" t="s">
        <v>319</v>
      </c>
      <c r="I58" s="28" t="s">
        <v>143</v>
      </c>
      <c r="J58" s="28" t="s">
        <v>1010</v>
      </c>
      <c r="K58" s="310" t="s">
        <v>1020</v>
      </c>
      <c r="L58" s="314" t="s">
        <v>1075</v>
      </c>
      <c r="M58" s="224">
        <f>'Dados Detalhados'!$L$560</f>
        <v>3722.2200000000003</v>
      </c>
      <c r="N58" s="224">
        <f>'Dados Detalhados'!$L$560</f>
        <v>3722.2200000000003</v>
      </c>
      <c r="O58" s="224">
        <f>'Dados Detalhados'!$L$560</f>
        <v>3722.2200000000003</v>
      </c>
      <c r="P58" s="78">
        <f t="shared" si="0"/>
        <v>11166.66</v>
      </c>
      <c r="Q58" s="78">
        <f t="shared" si="1"/>
        <v>11166.66</v>
      </c>
      <c r="R58" s="78"/>
      <c r="S58" s="78"/>
      <c r="T58" s="78"/>
      <c r="U58" s="78"/>
      <c r="V58" s="78"/>
      <c r="W58" s="78"/>
    </row>
    <row r="59" spans="1:23" ht="52.5" customHeight="1">
      <c r="A59" s="12">
        <v>54</v>
      </c>
      <c r="B59" s="10" t="s">
        <v>160</v>
      </c>
      <c r="C59" s="14" t="s">
        <v>867</v>
      </c>
      <c r="D59" s="6">
        <v>2</v>
      </c>
      <c r="E59" s="8" t="s">
        <v>389</v>
      </c>
      <c r="F59" s="8">
        <v>2</v>
      </c>
      <c r="G59" s="21" t="s">
        <v>866</v>
      </c>
      <c r="H59" s="5" t="s">
        <v>318</v>
      </c>
      <c r="I59" s="28" t="s">
        <v>143</v>
      </c>
      <c r="J59" s="28" t="s">
        <v>1006</v>
      </c>
      <c r="K59" s="28" t="s">
        <v>1016</v>
      </c>
      <c r="L59" s="314" t="s">
        <v>753</v>
      </c>
      <c r="M59" s="47"/>
      <c r="N59" s="224">
        <f>'Dados Detalhados'!$L$564</f>
        <v>22000</v>
      </c>
      <c r="O59" s="43">
        <v>0</v>
      </c>
      <c r="P59" s="78">
        <f t="shared" si="0"/>
        <v>22000</v>
      </c>
      <c r="Q59" s="78">
        <f t="shared" si="1"/>
        <v>22000</v>
      </c>
      <c r="R59" s="78"/>
      <c r="S59" s="78"/>
      <c r="T59" s="78"/>
      <c r="U59" s="78"/>
      <c r="V59" s="78"/>
      <c r="W59" s="78"/>
    </row>
    <row r="60" spans="1:23" ht="52.5" customHeight="1">
      <c r="A60" s="12" t="s">
        <v>870</v>
      </c>
      <c r="B60" s="10" t="s">
        <v>868</v>
      </c>
      <c r="C60" s="14" t="s">
        <v>871</v>
      </c>
      <c r="D60" s="6">
        <v>1</v>
      </c>
      <c r="E60" s="8" t="s">
        <v>389</v>
      </c>
      <c r="F60" s="8">
        <v>2</v>
      </c>
      <c r="G60" s="21" t="s">
        <v>866</v>
      </c>
      <c r="H60" s="5"/>
      <c r="I60" s="28"/>
      <c r="J60" s="28" t="s">
        <v>1006</v>
      </c>
      <c r="K60" s="28" t="s">
        <v>1016</v>
      </c>
      <c r="L60" s="353" t="s">
        <v>1076</v>
      </c>
      <c r="M60" s="224">
        <f>'Dados Detalhados'!$L$568</f>
        <v>11000</v>
      </c>
      <c r="N60" s="43"/>
      <c r="O60" s="43"/>
      <c r="P60" s="78">
        <f t="shared" si="0"/>
        <v>11000</v>
      </c>
      <c r="Q60" s="78">
        <f t="shared" si="1"/>
        <v>11000</v>
      </c>
      <c r="R60" s="78"/>
      <c r="S60" s="78"/>
      <c r="T60" s="78"/>
      <c r="U60" s="78"/>
      <c r="V60" s="78"/>
      <c r="W60" s="78"/>
    </row>
    <row r="61" spans="1:23" ht="52.5" customHeight="1">
      <c r="A61" s="12">
        <v>54.2</v>
      </c>
      <c r="B61" s="10" t="s">
        <v>869</v>
      </c>
      <c r="C61" s="14" t="s">
        <v>872</v>
      </c>
      <c r="D61" s="6">
        <v>1</v>
      </c>
      <c r="E61" s="8" t="s">
        <v>389</v>
      </c>
      <c r="F61" s="8">
        <v>2</v>
      </c>
      <c r="G61" s="21" t="s">
        <v>866</v>
      </c>
      <c r="H61" s="5"/>
      <c r="I61" s="28"/>
      <c r="J61" s="28" t="s">
        <v>1006</v>
      </c>
      <c r="K61" s="28" t="s">
        <v>1016</v>
      </c>
      <c r="L61" s="353" t="s">
        <v>1076</v>
      </c>
      <c r="M61" s="43"/>
      <c r="N61" s="224">
        <f>'Dados Detalhados'!$L$571</f>
        <v>11000</v>
      </c>
      <c r="O61" s="43"/>
      <c r="P61" s="78">
        <f t="shared" si="0"/>
        <v>11000</v>
      </c>
      <c r="Q61" s="78">
        <f t="shared" si="1"/>
        <v>11000</v>
      </c>
      <c r="R61" s="78"/>
      <c r="S61" s="78"/>
      <c r="T61" s="78"/>
      <c r="U61" s="78"/>
      <c r="V61" s="78"/>
      <c r="W61" s="78"/>
    </row>
    <row r="62" spans="1:23" ht="52.5" customHeight="1">
      <c r="A62" s="12">
        <v>55</v>
      </c>
      <c r="B62" s="10" t="s">
        <v>158</v>
      </c>
      <c r="C62" s="14" t="s">
        <v>157</v>
      </c>
      <c r="D62" s="6">
        <v>2</v>
      </c>
      <c r="E62" s="8" t="s">
        <v>144</v>
      </c>
      <c r="F62" s="8">
        <v>1</v>
      </c>
      <c r="G62" s="66" t="s">
        <v>397</v>
      </c>
      <c r="H62" s="5" t="s">
        <v>317</v>
      </c>
      <c r="I62" s="28" t="s">
        <v>143</v>
      </c>
      <c r="J62" s="28" t="s">
        <v>1006</v>
      </c>
      <c r="K62" s="310" t="s">
        <v>1015</v>
      </c>
      <c r="L62" s="353" t="s">
        <v>1077</v>
      </c>
      <c r="M62" s="48">
        <f>'Dados Detalhados'!$L$574</f>
        <v>92.829999999999984</v>
      </c>
      <c r="N62" s="48">
        <f>'Dados Detalhados'!$L$574</f>
        <v>92.829999999999984</v>
      </c>
      <c r="O62" s="48">
        <f>'Dados Detalhados'!$L$574</f>
        <v>92.829999999999984</v>
      </c>
      <c r="P62" s="78">
        <f t="shared" si="0"/>
        <v>278.48999999999995</v>
      </c>
      <c r="Q62" s="78"/>
      <c r="R62" s="78"/>
      <c r="S62" s="78"/>
      <c r="T62" s="78"/>
      <c r="U62" s="78">
        <f t="shared" si="4"/>
        <v>278.48999999999995</v>
      </c>
      <c r="V62" s="78"/>
      <c r="W62" s="78"/>
    </row>
    <row r="63" spans="1:23" ht="58.5" customHeight="1">
      <c r="A63" s="12">
        <v>56</v>
      </c>
      <c r="B63" s="10" t="s">
        <v>155</v>
      </c>
      <c r="C63" s="14" t="s">
        <v>156</v>
      </c>
      <c r="D63" s="6">
        <v>1</v>
      </c>
      <c r="E63" s="8" t="s">
        <v>390</v>
      </c>
      <c r="F63" s="8">
        <v>3</v>
      </c>
      <c r="G63" s="66" t="s">
        <v>404</v>
      </c>
      <c r="H63" s="5" t="s">
        <v>316</v>
      </c>
      <c r="I63" s="28" t="s">
        <v>143</v>
      </c>
      <c r="J63" s="28" t="s">
        <v>1011</v>
      </c>
      <c r="K63" s="28" t="s">
        <v>1020</v>
      </c>
      <c r="L63" s="353" t="s">
        <v>1078</v>
      </c>
      <c r="M63" s="43">
        <v>0</v>
      </c>
      <c r="N63" s="43">
        <v>0</v>
      </c>
      <c r="O63" s="43">
        <v>0</v>
      </c>
      <c r="P63" s="78">
        <f t="shared" si="0"/>
        <v>0</v>
      </c>
      <c r="Q63" s="78">
        <f t="shared" si="1"/>
        <v>0</v>
      </c>
      <c r="R63" s="78"/>
      <c r="S63" s="78"/>
      <c r="T63" s="78"/>
      <c r="U63" s="78"/>
      <c r="V63" s="78"/>
      <c r="W63" s="78"/>
    </row>
    <row r="64" spans="1:23" ht="52.5" customHeight="1">
      <c r="A64" s="12">
        <v>57</v>
      </c>
      <c r="B64" s="10" t="s">
        <v>154</v>
      </c>
      <c r="C64" s="14" t="s">
        <v>153</v>
      </c>
      <c r="D64" s="6">
        <v>2</v>
      </c>
      <c r="E64" s="8" t="s">
        <v>390</v>
      </c>
      <c r="F64" s="8">
        <v>3</v>
      </c>
      <c r="G64" s="66" t="s">
        <v>404</v>
      </c>
      <c r="H64" s="5"/>
      <c r="I64" s="28" t="s">
        <v>143</v>
      </c>
      <c r="J64" s="28" t="s">
        <v>1011</v>
      </c>
      <c r="K64" s="28" t="s">
        <v>1020</v>
      </c>
      <c r="L64" s="353" t="s">
        <v>1079</v>
      </c>
      <c r="M64" s="43">
        <f>'Dados Detalhados'!$L$593</f>
        <v>19562.87</v>
      </c>
      <c r="N64" s="43">
        <v>0</v>
      </c>
      <c r="O64" s="43">
        <v>0</v>
      </c>
      <c r="P64" s="78">
        <f t="shared" si="0"/>
        <v>19562.87</v>
      </c>
      <c r="Q64" s="78"/>
      <c r="R64" s="78"/>
      <c r="S64" s="78"/>
      <c r="T64" s="78"/>
      <c r="U64" s="78"/>
      <c r="V64" s="78"/>
      <c r="W64" s="78">
        <f t="shared" si="3"/>
        <v>19562.87</v>
      </c>
    </row>
    <row r="65" spans="1:23" ht="52.5" customHeight="1">
      <c r="A65" s="12">
        <v>58</v>
      </c>
      <c r="B65" s="10" t="s">
        <v>152</v>
      </c>
      <c r="C65" s="14" t="s">
        <v>151</v>
      </c>
      <c r="D65" s="6">
        <v>1</v>
      </c>
      <c r="E65" s="8" t="s">
        <v>390</v>
      </c>
      <c r="F65" s="8">
        <v>3</v>
      </c>
      <c r="G65" s="66" t="s">
        <v>403</v>
      </c>
      <c r="H65" s="5" t="s">
        <v>315</v>
      </c>
      <c r="I65" s="28" t="s">
        <v>143</v>
      </c>
      <c r="J65" s="28" t="s">
        <v>1011</v>
      </c>
      <c r="K65" s="28" t="s">
        <v>1020</v>
      </c>
      <c r="L65" s="353" t="s">
        <v>1080</v>
      </c>
      <c r="M65" s="224">
        <f>'Dados Detalhados'!$L$609</f>
        <v>18499.990000000002</v>
      </c>
      <c r="N65" s="224">
        <f>'Dados Detalhados'!$L$609</f>
        <v>18499.990000000002</v>
      </c>
      <c r="O65" s="224">
        <f>'Dados Detalhados'!$L$609</f>
        <v>18499.990000000002</v>
      </c>
      <c r="P65" s="78">
        <f t="shared" si="0"/>
        <v>55499.97</v>
      </c>
      <c r="Q65" s="78">
        <f t="shared" si="1"/>
        <v>55499.97</v>
      </c>
      <c r="R65" s="78"/>
      <c r="S65" s="78"/>
      <c r="T65" s="78"/>
      <c r="U65" s="78"/>
      <c r="V65" s="78"/>
      <c r="W65" s="78"/>
    </row>
    <row r="66" spans="1:23" ht="52.5" customHeight="1">
      <c r="A66" s="12">
        <v>59</v>
      </c>
      <c r="B66" s="10" t="s">
        <v>150</v>
      </c>
      <c r="C66" s="14" t="s">
        <v>149</v>
      </c>
      <c r="D66" s="6">
        <v>2</v>
      </c>
      <c r="E66" s="8" t="s">
        <v>390</v>
      </c>
      <c r="F66" s="8">
        <v>3</v>
      </c>
      <c r="G66" s="66" t="s">
        <v>403</v>
      </c>
      <c r="H66" s="5" t="s">
        <v>314</v>
      </c>
      <c r="I66" s="28" t="s">
        <v>143</v>
      </c>
      <c r="J66" s="28" t="s">
        <v>1006</v>
      </c>
      <c r="K66" s="28" t="s">
        <v>1020</v>
      </c>
      <c r="L66" s="353" t="s">
        <v>1081</v>
      </c>
      <c r="M66" s="224">
        <f>'Dados Detalhados'!$L$623</f>
        <v>11333.33</v>
      </c>
      <c r="N66" s="224">
        <f>'Dados Detalhados'!$L$623</f>
        <v>11333.33</v>
      </c>
      <c r="O66" s="224">
        <f>'Dados Detalhados'!$L$623</f>
        <v>11333.33</v>
      </c>
      <c r="P66" s="78">
        <f t="shared" si="0"/>
        <v>33999.99</v>
      </c>
      <c r="Q66" s="78">
        <f t="shared" si="1"/>
        <v>33999.99</v>
      </c>
      <c r="R66" s="78"/>
      <c r="S66" s="78"/>
      <c r="T66" s="78"/>
      <c r="U66" s="78"/>
      <c r="V66" s="78"/>
      <c r="W66" s="78"/>
    </row>
    <row r="67" spans="1:23" ht="52.5" customHeight="1">
      <c r="A67" s="12">
        <v>60</v>
      </c>
      <c r="B67" s="10" t="s">
        <v>148</v>
      </c>
      <c r="C67" s="14" t="s">
        <v>147</v>
      </c>
      <c r="D67" s="6">
        <v>2</v>
      </c>
      <c r="E67" s="8" t="s">
        <v>390</v>
      </c>
      <c r="F67" s="8">
        <v>3</v>
      </c>
      <c r="G67" s="66" t="s">
        <v>403</v>
      </c>
      <c r="H67" s="5"/>
      <c r="I67" s="28" t="s">
        <v>143</v>
      </c>
      <c r="J67" s="28" t="s">
        <v>1007</v>
      </c>
      <c r="K67" s="28" t="s">
        <v>1020</v>
      </c>
      <c r="L67" s="353" t="s">
        <v>762</v>
      </c>
      <c r="M67" s="43">
        <v>0</v>
      </c>
      <c r="N67" s="43">
        <v>0</v>
      </c>
      <c r="O67" s="43">
        <v>0</v>
      </c>
      <c r="P67" s="78">
        <f t="shared" si="0"/>
        <v>0</v>
      </c>
      <c r="Q67" s="78">
        <f t="shared" si="1"/>
        <v>0</v>
      </c>
      <c r="R67" s="78"/>
      <c r="S67" s="78"/>
      <c r="T67" s="78"/>
      <c r="U67" s="78"/>
      <c r="V67" s="78"/>
      <c r="W67" s="78"/>
    </row>
    <row r="68" spans="1:23" ht="52.5" customHeight="1">
      <c r="A68" s="12">
        <v>61</v>
      </c>
      <c r="B68" s="10" t="s">
        <v>146</v>
      </c>
      <c r="C68" s="14" t="s">
        <v>145</v>
      </c>
      <c r="D68" s="6">
        <v>2</v>
      </c>
      <c r="E68" s="8" t="s">
        <v>390</v>
      </c>
      <c r="F68" s="8">
        <v>3</v>
      </c>
      <c r="G68" s="66" t="s">
        <v>403</v>
      </c>
      <c r="H68" s="5"/>
      <c r="I68" s="28" t="s">
        <v>143</v>
      </c>
      <c r="J68" s="28" t="s">
        <v>1007</v>
      </c>
      <c r="K68" s="28" t="s">
        <v>1020</v>
      </c>
      <c r="L68" s="353" t="s">
        <v>763</v>
      </c>
      <c r="M68" s="43"/>
      <c r="N68" s="43">
        <f>'Dados Detalhados'!$L$642</f>
        <v>5187.92</v>
      </c>
      <c r="O68" s="43">
        <v>0</v>
      </c>
      <c r="P68" s="78">
        <f t="shared" si="0"/>
        <v>5187.92</v>
      </c>
      <c r="Q68" s="78"/>
      <c r="R68" s="78"/>
      <c r="S68" s="78"/>
      <c r="T68" s="78"/>
      <c r="U68" s="78"/>
      <c r="V68" s="78"/>
      <c r="W68" s="78">
        <f t="shared" si="3"/>
        <v>5187.92</v>
      </c>
    </row>
    <row r="69" spans="1:23" ht="52.5" customHeight="1">
      <c r="A69" s="12">
        <v>62</v>
      </c>
      <c r="B69" s="10" t="s">
        <v>142</v>
      </c>
      <c r="C69" s="11" t="s">
        <v>141</v>
      </c>
      <c r="D69" s="16">
        <v>3</v>
      </c>
      <c r="E69" s="19" t="s">
        <v>390</v>
      </c>
      <c r="F69" s="19">
        <v>3</v>
      </c>
      <c r="G69" s="66" t="s">
        <v>401</v>
      </c>
      <c r="H69" s="5" t="s">
        <v>313</v>
      </c>
      <c r="I69" s="31" t="s">
        <v>107</v>
      </c>
      <c r="J69" s="31" t="s">
        <v>1008</v>
      </c>
      <c r="K69" s="31" t="s">
        <v>1019</v>
      </c>
      <c r="L69" s="353" t="s">
        <v>1082</v>
      </c>
      <c r="M69" s="45">
        <f>'Dados Detalhados'!$L$658</f>
        <v>4500</v>
      </c>
      <c r="N69" s="43">
        <v>0</v>
      </c>
      <c r="O69" s="43">
        <v>0</v>
      </c>
      <c r="P69" s="78">
        <f t="shared" si="0"/>
        <v>4500</v>
      </c>
      <c r="Q69" s="78">
        <f t="shared" si="1"/>
        <v>4500</v>
      </c>
      <c r="R69" s="78"/>
      <c r="S69" s="78"/>
      <c r="T69" s="78"/>
      <c r="U69" s="78"/>
      <c r="V69" s="78"/>
      <c r="W69" s="78"/>
    </row>
    <row r="70" spans="1:23" ht="52.5" customHeight="1">
      <c r="A70" s="12">
        <v>63</v>
      </c>
      <c r="B70" s="10" t="s">
        <v>140</v>
      </c>
      <c r="C70" s="14" t="s">
        <v>139</v>
      </c>
      <c r="D70" s="16">
        <v>1</v>
      </c>
      <c r="E70" s="8" t="s">
        <v>390</v>
      </c>
      <c r="F70" s="19">
        <v>3</v>
      </c>
      <c r="G70" s="66" t="s">
        <v>401</v>
      </c>
      <c r="H70" s="5" t="s">
        <v>312</v>
      </c>
      <c r="I70" s="28" t="s">
        <v>107</v>
      </c>
      <c r="J70" s="28" t="s">
        <v>1008</v>
      </c>
      <c r="K70" s="28" t="s">
        <v>1019</v>
      </c>
      <c r="L70" s="353" t="s">
        <v>1083</v>
      </c>
      <c r="M70" s="224">
        <f>'Dados Detalhados'!$L$663</f>
        <v>13953</v>
      </c>
      <c r="N70" s="43">
        <f>'Dados Detalhados'!$L$664</f>
        <v>0</v>
      </c>
      <c r="O70" s="224">
        <f>'Dados Detalhados'!$L$665</f>
        <v>13953</v>
      </c>
      <c r="P70" s="78">
        <f t="shared" ref="P70:P133" si="7">+M70+N70+O70</f>
        <v>27906</v>
      </c>
      <c r="Q70" s="78">
        <f t="shared" si="1"/>
        <v>27906</v>
      </c>
      <c r="R70" s="78"/>
      <c r="S70" s="78"/>
      <c r="T70" s="78"/>
      <c r="U70" s="78"/>
      <c r="V70" s="78"/>
      <c r="W70" s="78"/>
    </row>
    <row r="71" spans="1:23" ht="52.5" customHeight="1">
      <c r="A71" s="12">
        <v>64</v>
      </c>
      <c r="B71" s="10" t="s">
        <v>138</v>
      </c>
      <c r="C71" s="14" t="s">
        <v>335</v>
      </c>
      <c r="D71" s="16">
        <v>1</v>
      </c>
      <c r="E71" s="8" t="s">
        <v>390</v>
      </c>
      <c r="F71" s="19">
        <v>3</v>
      </c>
      <c r="G71" s="66" t="s">
        <v>401</v>
      </c>
      <c r="H71" s="5" t="s">
        <v>311</v>
      </c>
      <c r="I71" s="28" t="s">
        <v>107</v>
      </c>
      <c r="J71" s="28" t="s">
        <v>1008</v>
      </c>
      <c r="K71" s="28" t="s">
        <v>1018</v>
      </c>
      <c r="L71" s="354" t="s">
        <v>1084</v>
      </c>
      <c r="M71" s="224">
        <f>'Dados Detalhados'!$L$666</f>
        <v>18372</v>
      </c>
      <c r="N71" s="224">
        <f>'Dados Detalhados'!$L$666</f>
        <v>18372</v>
      </c>
      <c r="O71" s="224">
        <f>'Dados Detalhados'!$L$666</f>
        <v>18372</v>
      </c>
      <c r="P71" s="78">
        <f t="shared" si="7"/>
        <v>55116</v>
      </c>
      <c r="Q71" s="78">
        <f t="shared" si="1"/>
        <v>55116</v>
      </c>
      <c r="R71" s="78"/>
      <c r="S71" s="78"/>
      <c r="T71" s="78"/>
      <c r="U71" s="78"/>
      <c r="V71" s="78"/>
      <c r="W71" s="78"/>
    </row>
    <row r="72" spans="1:23" ht="52.5" customHeight="1">
      <c r="A72" s="12">
        <v>65</v>
      </c>
      <c r="B72" s="20" t="s">
        <v>137</v>
      </c>
      <c r="C72" s="20" t="s">
        <v>136</v>
      </c>
      <c r="D72" s="16">
        <v>1</v>
      </c>
      <c r="E72" s="19" t="s">
        <v>390</v>
      </c>
      <c r="F72" s="19">
        <v>3</v>
      </c>
      <c r="G72" s="66" t="s">
        <v>401</v>
      </c>
      <c r="H72" s="7" t="s">
        <v>310</v>
      </c>
      <c r="I72" s="31" t="s">
        <v>107</v>
      </c>
      <c r="J72" s="31" t="s">
        <v>1008</v>
      </c>
      <c r="K72" s="31" t="s">
        <v>1017</v>
      </c>
      <c r="L72" s="354" t="s">
        <v>1085</v>
      </c>
      <c r="M72" s="229">
        <f>'Dados Detalhados'!$L$668</f>
        <v>5701.36</v>
      </c>
      <c r="N72" s="229">
        <f>'Dados Detalhados'!$L$668</f>
        <v>5701.36</v>
      </c>
      <c r="O72" s="229">
        <f>'Dados Detalhados'!$L$668</f>
        <v>5701.36</v>
      </c>
      <c r="P72" s="78">
        <f t="shared" si="7"/>
        <v>17104.079999999998</v>
      </c>
      <c r="Q72" s="78">
        <f t="shared" ref="Q72:Q134" si="8">+P72</f>
        <v>17104.079999999998</v>
      </c>
      <c r="R72" s="78"/>
      <c r="S72" s="78"/>
      <c r="T72" s="78"/>
      <c r="U72" s="78"/>
      <c r="V72" s="78"/>
      <c r="W72" s="78"/>
    </row>
    <row r="73" spans="1:23" ht="52.5" customHeight="1">
      <c r="A73" s="12">
        <v>66</v>
      </c>
      <c r="B73" s="1" t="s">
        <v>135</v>
      </c>
      <c r="C73" s="20" t="s">
        <v>134</v>
      </c>
      <c r="D73" s="16">
        <v>1</v>
      </c>
      <c r="E73" s="19" t="s">
        <v>390</v>
      </c>
      <c r="F73" s="19">
        <v>3</v>
      </c>
      <c r="G73" s="66" t="s">
        <v>401</v>
      </c>
      <c r="H73" s="7"/>
      <c r="I73" s="31" t="s">
        <v>107</v>
      </c>
      <c r="J73" s="31" t="s">
        <v>1008</v>
      </c>
      <c r="K73" s="31" t="s">
        <v>1017</v>
      </c>
      <c r="L73" s="355" t="s">
        <v>1087</v>
      </c>
      <c r="M73" s="229">
        <f>'Dados Detalhados'!$L$671</f>
        <v>7701.97</v>
      </c>
      <c r="N73" s="229">
        <f>'Dados Detalhados'!$L$671</f>
        <v>7701.97</v>
      </c>
      <c r="O73" s="229">
        <f>'Dados Detalhados'!$L$671</f>
        <v>7701.97</v>
      </c>
      <c r="P73" s="78">
        <f t="shared" si="7"/>
        <v>23105.91</v>
      </c>
      <c r="Q73" s="78">
        <f>+P73</f>
        <v>23105.91</v>
      </c>
      <c r="R73" s="78"/>
      <c r="S73" s="78"/>
      <c r="T73" s="78"/>
      <c r="U73" s="78"/>
      <c r="V73" s="78"/>
      <c r="W73" s="78"/>
    </row>
    <row r="74" spans="1:23" ht="52.5" customHeight="1">
      <c r="A74" s="12">
        <v>67</v>
      </c>
      <c r="B74" s="10" t="s">
        <v>132</v>
      </c>
      <c r="C74" s="14" t="s">
        <v>131</v>
      </c>
      <c r="D74" s="16">
        <v>1</v>
      </c>
      <c r="E74" s="8" t="s">
        <v>390</v>
      </c>
      <c r="F74" s="19">
        <v>3</v>
      </c>
      <c r="G74" s="66" t="s">
        <v>401</v>
      </c>
      <c r="H74" s="9" t="s">
        <v>309</v>
      </c>
      <c r="I74" s="28" t="s">
        <v>107</v>
      </c>
      <c r="J74" s="28" t="s">
        <v>1006</v>
      </c>
      <c r="K74" s="28" t="s">
        <v>1017</v>
      </c>
      <c r="L74" s="354" t="s">
        <v>1086</v>
      </c>
      <c r="M74" s="224">
        <f>'Dados Detalhados'!$L$673</f>
        <v>7592.33</v>
      </c>
      <c r="N74" s="224">
        <f>'Dados Detalhados'!$L$673</f>
        <v>7592.33</v>
      </c>
      <c r="O74" s="224">
        <f>'Dados Detalhados'!$L$673</f>
        <v>7592.33</v>
      </c>
      <c r="P74" s="78">
        <f t="shared" si="7"/>
        <v>22776.989999999998</v>
      </c>
      <c r="Q74" s="78">
        <f>+P74</f>
        <v>22776.989999999998</v>
      </c>
      <c r="R74" s="78"/>
      <c r="S74" s="78"/>
      <c r="T74" s="78"/>
      <c r="U74" s="78"/>
      <c r="V74" s="78"/>
      <c r="W74" s="78"/>
    </row>
    <row r="75" spans="1:23" ht="52.5" customHeight="1">
      <c r="A75" s="12">
        <v>68</v>
      </c>
      <c r="B75" s="10" t="s">
        <v>130</v>
      </c>
      <c r="C75" s="14" t="s">
        <v>129</v>
      </c>
      <c r="D75" s="16">
        <v>2</v>
      </c>
      <c r="E75" s="8" t="s">
        <v>390</v>
      </c>
      <c r="F75" s="19">
        <v>3</v>
      </c>
      <c r="G75" s="66" t="s">
        <v>401</v>
      </c>
      <c r="H75" s="29" t="s">
        <v>308</v>
      </c>
      <c r="I75" s="28" t="s">
        <v>107</v>
      </c>
      <c r="J75" s="28" t="s">
        <v>1007</v>
      </c>
      <c r="K75" s="28" t="s">
        <v>1017</v>
      </c>
      <c r="L75" s="354" t="s">
        <v>1088</v>
      </c>
      <c r="M75" s="43">
        <f>'Dados Detalhados'!$L$676</f>
        <v>7622.22</v>
      </c>
      <c r="N75" s="43">
        <v>0</v>
      </c>
      <c r="O75" s="43">
        <v>0</v>
      </c>
      <c r="P75" s="78">
        <f>+M75+N75+O75</f>
        <v>7622.22</v>
      </c>
      <c r="Q75" s="78"/>
      <c r="R75" s="78"/>
      <c r="S75" s="78"/>
      <c r="T75" s="78"/>
      <c r="U75" s="78"/>
      <c r="V75" s="78"/>
      <c r="W75" s="78">
        <f>+P75</f>
        <v>7622.22</v>
      </c>
    </row>
    <row r="76" spans="1:23" ht="52.5" customHeight="1">
      <c r="A76" s="12">
        <v>69</v>
      </c>
      <c r="B76" s="10" t="s">
        <v>127</v>
      </c>
      <c r="C76" s="14" t="s">
        <v>126</v>
      </c>
      <c r="D76" s="16">
        <v>2</v>
      </c>
      <c r="E76" s="8" t="s">
        <v>390</v>
      </c>
      <c r="F76" s="19">
        <v>3</v>
      </c>
      <c r="G76" s="66" t="s">
        <v>401</v>
      </c>
      <c r="H76" s="29" t="s">
        <v>308</v>
      </c>
      <c r="I76" s="28" t="s">
        <v>107</v>
      </c>
      <c r="J76" s="28" t="s">
        <v>1007</v>
      </c>
      <c r="K76" s="28" t="s">
        <v>1017</v>
      </c>
      <c r="L76" s="354" t="s">
        <v>775</v>
      </c>
      <c r="M76" s="43">
        <f>'Dados Detalhados'!$L$692</f>
        <v>7622.22</v>
      </c>
      <c r="N76" s="43">
        <f>'Dados Detalhados'!$L$692</f>
        <v>7622.22</v>
      </c>
      <c r="O76" s="43">
        <v>0</v>
      </c>
      <c r="P76" s="78">
        <f>+M76+N76+O76</f>
        <v>15244.44</v>
      </c>
      <c r="Q76" s="78"/>
      <c r="R76" s="78"/>
      <c r="S76" s="78"/>
      <c r="T76" s="78"/>
      <c r="U76" s="78"/>
      <c r="V76" s="78"/>
      <c r="W76" s="78">
        <f>+P76</f>
        <v>15244.44</v>
      </c>
    </row>
    <row r="77" spans="1:23" ht="61.5" customHeight="1" thickBot="1">
      <c r="A77" s="12">
        <v>70</v>
      </c>
      <c r="B77" s="10" t="s">
        <v>124</v>
      </c>
      <c r="C77" s="14" t="s">
        <v>125</v>
      </c>
      <c r="D77" s="16">
        <v>1</v>
      </c>
      <c r="E77" s="8" t="s">
        <v>390</v>
      </c>
      <c r="F77" s="19">
        <v>3</v>
      </c>
      <c r="G77" s="66" t="s">
        <v>401</v>
      </c>
      <c r="H77" s="5" t="s">
        <v>307</v>
      </c>
      <c r="I77" s="28" t="s">
        <v>107</v>
      </c>
      <c r="J77" s="28" t="s">
        <v>1006</v>
      </c>
      <c r="K77" s="311" t="s">
        <v>1021</v>
      </c>
      <c r="L77" s="354" t="s">
        <v>776</v>
      </c>
      <c r="M77" s="43">
        <v>0</v>
      </c>
      <c r="N77" s="43">
        <v>0</v>
      </c>
      <c r="O77" s="43">
        <v>0</v>
      </c>
      <c r="P77" s="78">
        <f t="shared" si="7"/>
        <v>0</v>
      </c>
      <c r="Q77" s="78">
        <f t="shared" si="8"/>
        <v>0</v>
      </c>
      <c r="R77" s="78"/>
      <c r="S77" s="78"/>
      <c r="T77" s="78"/>
      <c r="U77" s="78"/>
      <c r="V77" s="78"/>
      <c r="W77" s="78"/>
    </row>
    <row r="78" spans="1:23" ht="52.5" customHeight="1" thickTop="1">
      <c r="A78" s="12">
        <v>71</v>
      </c>
      <c r="B78" s="10" t="s">
        <v>123</v>
      </c>
      <c r="C78" s="14" t="s">
        <v>122</v>
      </c>
      <c r="D78" s="16">
        <v>2</v>
      </c>
      <c r="E78" s="8" t="s">
        <v>390</v>
      </c>
      <c r="F78" s="19">
        <v>3</v>
      </c>
      <c r="G78" s="66" t="s">
        <v>401</v>
      </c>
      <c r="H78" s="5" t="s">
        <v>307</v>
      </c>
      <c r="I78" s="28" t="s">
        <v>107</v>
      </c>
      <c r="J78" s="28" t="s">
        <v>1006</v>
      </c>
      <c r="K78" s="28" t="s">
        <v>1021</v>
      </c>
      <c r="L78" s="354" t="s">
        <v>1089</v>
      </c>
      <c r="M78" s="48">
        <f>'Dados Detalhados'!$L$724</f>
        <v>2708.33</v>
      </c>
      <c r="N78" s="48">
        <f>'Dados Detalhados'!$L$724</f>
        <v>2708.33</v>
      </c>
      <c r="O78" s="48">
        <f>'Dados Detalhados'!$L$724</f>
        <v>2708.33</v>
      </c>
      <c r="P78" s="78">
        <f t="shared" si="7"/>
        <v>8124.99</v>
      </c>
      <c r="Q78" s="78"/>
      <c r="R78" s="78"/>
      <c r="S78" s="78"/>
      <c r="T78" s="78"/>
      <c r="U78" s="78">
        <f>SUM(M78:O78)</f>
        <v>8124.99</v>
      </c>
      <c r="V78" s="78"/>
      <c r="W78" s="78"/>
    </row>
    <row r="79" spans="1:23" ht="52.5" customHeight="1">
      <c r="A79" s="12">
        <v>72</v>
      </c>
      <c r="B79" s="10" t="s">
        <v>121</v>
      </c>
      <c r="C79" s="14" t="s">
        <v>392</v>
      </c>
      <c r="D79" s="16">
        <v>1</v>
      </c>
      <c r="E79" s="8" t="s">
        <v>390</v>
      </c>
      <c r="F79" s="19">
        <v>3</v>
      </c>
      <c r="G79" s="66" t="s">
        <v>401</v>
      </c>
      <c r="H79" s="5" t="s">
        <v>306</v>
      </c>
      <c r="I79" s="28" t="s">
        <v>107</v>
      </c>
      <c r="J79" s="28" t="s">
        <v>1006</v>
      </c>
      <c r="K79" s="28" t="s">
        <v>1017</v>
      </c>
      <c r="L79" s="354" t="s">
        <v>782</v>
      </c>
      <c r="M79" s="42">
        <f>'Dados Detalhados'!$L$727</f>
        <v>7140</v>
      </c>
      <c r="N79" s="42">
        <f>'Dados Detalhados'!$L$727</f>
        <v>7140</v>
      </c>
      <c r="O79" s="42">
        <f>'Dados Detalhados'!$L$727</f>
        <v>7140</v>
      </c>
      <c r="P79" s="78">
        <f t="shared" si="7"/>
        <v>21420</v>
      </c>
      <c r="Q79" s="78"/>
      <c r="R79" s="78"/>
      <c r="S79" s="78"/>
      <c r="T79" s="78"/>
      <c r="U79" s="78"/>
      <c r="V79" s="78"/>
      <c r="W79" s="78">
        <f t="shared" ref="W79:W139" si="9">+P79</f>
        <v>21420</v>
      </c>
    </row>
    <row r="80" spans="1:23" ht="52.5" customHeight="1">
      <c r="A80" s="12">
        <v>73</v>
      </c>
      <c r="B80" s="10" t="s">
        <v>120</v>
      </c>
      <c r="C80" s="14" t="s">
        <v>119</v>
      </c>
      <c r="D80" s="16">
        <v>2</v>
      </c>
      <c r="E80" s="8" t="s">
        <v>390</v>
      </c>
      <c r="F80" s="19">
        <v>3</v>
      </c>
      <c r="G80" s="66" t="s">
        <v>401</v>
      </c>
      <c r="H80" s="5" t="s">
        <v>305</v>
      </c>
      <c r="I80" s="28" t="s">
        <v>107</v>
      </c>
      <c r="J80" s="28" t="s">
        <v>1007</v>
      </c>
      <c r="K80" s="28" t="s">
        <v>1021</v>
      </c>
      <c r="L80" s="355" t="s">
        <v>783</v>
      </c>
      <c r="M80" s="43">
        <v>0</v>
      </c>
      <c r="N80" s="43">
        <v>0</v>
      </c>
      <c r="O80" s="43">
        <v>0</v>
      </c>
      <c r="P80" s="78">
        <f t="shared" si="7"/>
        <v>0</v>
      </c>
      <c r="Q80" s="78"/>
      <c r="R80" s="78"/>
      <c r="S80" s="78"/>
      <c r="T80" s="78"/>
      <c r="U80" s="78"/>
      <c r="V80" s="78"/>
      <c r="W80" s="78">
        <f t="shared" si="9"/>
        <v>0</v>
      </c>
    </row>
    <row r="81" spans="1:23" ht="52.5" customHeight="1">
      <c r="A81" s="12">
        <v>74</v>
      </c>
      <c r="B81" s="10" t="s">
        <v>118</v>
      </c>
      <c r="C81" s="14" t="s">
        <v>117</v>
      </c>
      <c r="D81" s="16">
        <v>2</v>
      </c>
      <c r="E81" s="8" t="s">
        <v>390</v>
      </c>
      <c r="F81" s="19">
        <v>3</v>
      </c>
      <c r="G81" s="66" t="s">
        <v>401</v>
      </c>
      <c r="H81" s="5" t="s">
        <v>305</v>
      </c>
      <c r="I81" s="28" t="s">
        <v>107</v>
      </c>
      <c r="J81" s="28" t="s">
        <v>1007</v>
      </c>
      <c r="K81" s="28" t="s">
        <v>1021</v>
      </c>
      <c r="L81" s="354" t="s">
        <v>785</v>
      </c>
      <c r="M81" s="229">
        <f>'Dados Detalhados'!$L$745</f>
        <v>20725.560000000001</v>
      </c>
      <c r="N81" s="43">
        <v>0</v>
      </c>
      <c r="O81" s="43">
        <v>0</v>
      </c>
      <c r="P81" s="78">
        <f t="shared" si="7"/>
        <v>20725.560000000001</v>
      </c>
      <c r="Q81" s="78">
        <f t="shared" si="8"/>
        <v>20725.560000000001</v>
      </c>
      <c r="R81" s="78"/>
      <c r="S81" s="78"/>
      <c r="T81" s="78"/>
      <c r="U81" s="78"/>
      <c r="V81" s="78"/>
      <c r="W81" s="78"/>
    </row>
    <row r="82" spans="1:23" ht="52.5" customHeight="1">
      <c r="A82" s="12">
        <v>75</v>
      </c>
      <c r="B82" s="10" t="s">
        <v>115</v>
      </c>
      <c r="C82" s="14" t="s">
        <v>114</v>
      </c>
      <c r="D82" s="16">
        <v>2</v>
      </c>
      <c r="E82" s="8" t="s">
        <v>390</v>
      </c>
      <c r="F82" s="19">
        <v>3</v>
      </c>
      <c r="G82" s="66" t="s">
        <v>401</v>
      </c>
      <c r="H82" s="5"/>
      <c r="I82" s="28" t="s">
        <v>107</v>
      </c>
      <c r="J82" s="28" t="s">
        <v>1007</v>
      </c>
      <c r="K82" s="28" t="s">
        <v>1021</v>
      </c>
      <c r="L82" s="354" t="s">
        <v>787</v>
      </c>
      <c r="M82" s="231">
        <v>0</v>
      </c>
      <c r="N82" s="230">
        <f>'Dados Detalhados'!$L$761</f>
        <v>20725.560000000001</v>
      </c>
      <c r="O82" s="43">
        <v>0</v>
      </c>
      <c r="P82" s="78">
        <f t="shared" si="7"/>
        <v>20725.560000000001</v>
      </c>
      <c r="Q82" s="78">
        <f t="shared" si="8"/>
        <v>20725.560000000001</v>
      </c>
      <c r="R82" s="78"/>
      <c r="S82" s="78"/>
      <c r="T82" s="78"/>
      <c r="U82" s="78"/>
      <c r="V82" s="78"/>
      <c r="W82" s="78"/>
    </row>
    <row r="83" spans="1:23" ht="52.5" customHeight="1">
      <c r="A83" s="12">
        <v>76</v>
      </c>
      <c r="B83" s="10" t="s">
        <v>113</v>
      </c>
      <c r="C83" s="14" t="s">
        <v>112</v>
      </c>
      <c r="D83" s="16">
        <v>1</v>
      </c>
      <c r="E83" s="8" t="s">
        <v>389</v>
      </c>
      <c r="F83" s="19">
        <v>2</v>
      </c>
      <c r="G83" s="66" t="s">
        <v>401</v>
      </c>
      <c r="H83" s="5" t="s">
        <v>305</v>
      </c>
      <c r="I83" s="28" t="s">
        <v>107</v>
      </c>
      <c r="J83" s="28" t="s">
        <v>1006</v>
      </c>
      <c r="K83" s="28" t="s">
        <v>1016</v>
      </c>
      <c r="L83" s="354" t="s">
        <v>789</v>
      </c>
      <c r="M83" s="224">
        <f>'Dados Detalhados'!$L$777</f>
        <v>3788.65</v>
      </c>
      <c r="N83" s="224">
        <f>'Dados Detalhados'!$L$777</f>
        <v>3788.65</v>
      </c>
      <c r="O83" s="224">
        <f>'Dados Detalhados'!$L$777</f>
        <v>3788.65</v>
      </c>
      <c r="P83" s="78">
        <f t="shared" si="7"/>
        <v>11365.95</v>
      </c>
      <c r="Q83" s="78">
        <f t="shared" si="8"/>
        <v>11365.95</v>
      </c>
      <c r="R83" s="78"/>
      <c r="S83" s="78"/>
      <c r="T83" s="78"/>
      <c r="U83" s="78"/>
      <c r="V83" s="78"/>
      <c r="W83" s="78"/>
    </row>
    <row r="84" spans="1:23" ht="52.5" customHeight="1" thickBot="1">
      <c r="A84" s="12">
        <v>77</v>
      </c>
      <c r="B84" s="10" t="s">
        <v>111</v>
      </c>
      <c r="C84" s="14" t="s">
        <v>110</v>
      </c>
      <c r="D84" s="16">
        <v>1</v>
      </c>
      <c r="E84" s="8" t="s">
        <v>390</v>
      </c>
      <c r="F84" s="19">
        <v>3</v>
      </c>
      <c r="G84" s="66" t="s">
        <v>401</v>
      </c>
      <c r="H84" s="5"/>
      <c r="I84" s="28" t="s">
        <v>107</v>
      </c>
      <c r="J84" s="28" t="s">
        <v>1006</v>
      </c>
      <c r="K84" s="311" t="s">
        <v>1022</v>
      </c>
      <c r="L84" s="354" t="s">
        <v>790</v>
      </c>
      <c r="M84" s="224">
        <f>'Dados Detalhados'!$L$791</f>
        <v>3070.2</v>
      </c>
      <c r="N84" s="224">
        <f>'Dados Detalhados'!$L$791</f>
        <v>3070.2</v>
      </c>
      <c r="O84" s="224">
        <f>'Dados Detalhados'!$L$791</f>
        <v>3070.2</v>
      </c>
      <c r="P84" s="78">
        <f t="shared" si="7"/>
        <v>9210.5999999999985</v>
      </c>
      <c r="Q84" s="78">
        <f t="shared" si="8"/>
        <v>9210.5999999999985</v>
      </c>
      <c r="R84" s="78"/>
      <c r="S84" s="78"/>
      <c r="T84" s="78"/>
      <c r="U84" s="78"/>
      <c r="V84" s="78"/>
      <c r="W84" s="78"/>
    </row>
    <row r="85" spans="1:23" ht="52.5" customHeight="1" thickTop="1">
      <c r="A85" s="12">
        <v>78</v>
      </c>
      <c r="B85" s="10" t="s">
        <v>109</v>
      </c>
      <c r="C85" s="14" t="s">
        <v>108</v>
      </c>
      <c r="D85" s="16">
        <v>1</v>
      </c>
      <c r="E85" s="8" t="s">
        <v>390</v>
      </c>
      <c r="F85" s="19">
        <v>3</v>
      </c>
      <c r="G85" s="66" t="s">
        <v>401</v>
      </c>
      <c r="H85" s="5"/>
      <c r="I85" s="28" t="s">
        <v>107</v>
      </c>
      <c r="J85" s="28" t="s">
        <v>1008</v>
      </c>
      <c r="K85" s="28" t="s">
        <v>1017</v>
      </c>
      <c r="L85" s="354"/>
      <c r="M85" s="224">
        <f>'Dados Detalhados'!$L$793</f>
        <v>5000</v>
      </c>
      <c r="N85" s="43">
        <v>0</v>
      </c>
      <c r="O85" s="43">
        <v>0</v>
      </c>
      <c r="P85" s="78">
        <f t="shared" si="7"/>
        <v>5000</v>
      </c>
      <c r="Q85" s="78">
        <f t="shared" si="8"/>
        <v>5000</v>
      </c>
      <c r="R85" s="78"/>
      <c r="S85" s="78"/>
      <c r="T85" s="78"/>
      <c r="U85" s="78"/>
      <c r="V85" s="78"/>
      <c r="W85" s="78"/>
    </row>
    <row r="86" spans="1:23" ht="52.5" customHeight="1">
      <c r="A86" s="12">
        <v>79</v>
      </c>
      <c r="B86" s="10" t="s">
        <v>106</v>
      </c>
      <c r="C86" s="14" t="s">
        <v>105</v>
      </c>
      <c r="D86" s="16">
        <v>1</v>
      </c>
      <c r="E86" s="8" t="s">
        <v>390</v>
      </c>
      <c r="F86" s="19">
        <v>3</v>
      </c>
      <c r="G86" s="66" t="s">
        <v>402</v>
      </c>
      <c r="H86" s="5" t="s">
        <v>304</v>
      </c>
      <c r="I86" s="28" t="s">
        <v>77</v>
      </c>
      <c r="J86" s="28" t="s">
        <v>1006</v>
      </c>
      <c r="K86" s="28" t="s">
        <v>1017</v>
      </c>
      <c r="L86" s="355" t="s">
        <v>793</v>
      </c>
      <c r="M86" s="43">
        <v>0</v>
      </c>
      <c r="N86" s="43">
        <v>0</v>
      </c>
      <c r="O86" s="43">
        <v>0</v>
      </c>
      <c r="P86" s="78">
        <f t="shared" si="7"/>
        <v>0</v>
      </c>
      <c r="Q86" s="78">
        <f t="shared" si="8"/>
        <v>0</v>
      </c>
      <c r="R86" s="78"/>
      <c r="S86" s="78"/>
      <c r="T86" s="78"/>
      <c r="U86" s="78"/>
      <c r="V86" s="78"/>
      <c r="W86" s="78"/>
    </row>
    <row r="87" spans="1:23" ht="52.5" customHeight="1">
      <c r="A87" s="12">
        <v>80</v>
      </c>
      <c r="B87" s="10" t="s">
        <v>101</v>
      </c>
      <c r="C87" s="14" t="s">
        <v>104</v>
      </c>
      <c r="D87" s="16">
        <v>1</v>
      </c>
      <c r="E87" s="8" t="s">
        <v>390</v>
      </c>
      <c r="F87" s="19">
        <v>3</v>
      </c>
      <c r="G87" s="66" t="s">
        <v>402</v>
      </c>
      <c r="H87" s="5" t="s">
        <v>286</v>
      </c>
      <c r="I87" s="28" t="s">
        <v>77</v>
      </c>
      <c r="J87" s="28" t="s">
        <v>1006</v>
      </c>
      <c r="K87" s="28" t="s">
        <v>1018</v>
      </c>
      <c r="L87" s="354" t="s">
        <v>794</v>
      </c>
      <c r="M87" s="233">
        <f>'Dados Detalhados'!$L$837</f>
        <v>8050</v>
      </c>
      <c r="N87" s="233">
        <f>'Dados Detalhados'!$L$838</f>
        <v>4370</v>
      </c>
      <c r="O87" s="233">
        <f>'Dados Detalhados'!$L$839</f>
        <v>9430</v>
      </c>
      <c r="P87" s="78">
        <f t="shared" si="7"/>
        <v>21850</v>
      </c>
      <c r="Q87" s="78"/>
      <c r="R87" s="78"/>
      <c r="S87" s="78"/>
      <c r="T87" s="78">
        <f t="shared" ref="T87:T132" si="10">+P87</f>
        <v>21850</v>
      </c>
      <c r="U87" s="78"/>
      <c r="V87" s="78"/>
      <c r="W87" s="78"/>
    </row>
    <row r="88" spans="1:23" ht="52.5" customHeight="1">
      <c r="A88" s="12">
        <v>81</v>
      </c>
      <c r="B88" s="10" t="s">
        <v>103</v>
      </c>
      <c r="C88" s="14" t="s">
        <v>102</v>
      </c>
      <c r="D88" s="16">
        <v>1</v>
      </c>
      <c r="E88" s="8" t="s">
        <v>390</v>
      </c>
      <c r="F88" s="19">
        <v>3</v>
      </c>
      <c r="G88" s="66" t="s">
        <v>402</v>
      </c>
      <c r="H88" s="5"/>
      <c r="I88" s="28" t="s">
        <v>77</v>
      </c>
      <c r="J88" s="28" t="s">
        <v>1006</v>
      </c>
      <c r="K88" s="28" t="s">
        <v>1018</v>
      </c>
      <c r="L88" s="354" t="s">
        <v>796</v>
      </c>
      <c r="M88" s="233">
        <f>'Dados Detalhados'!$L$843</f>
        <v>1280</v>
      </c>
      <c r="N88" s="233">
        <f>'Dados Detalhados'!$L$844</f>
        <v>832</v>
      </c>
      <c r="O88" s="233">
        <f>'Dados Detalhados'!$L$845</f>
        <v>2304</v>
      </c>
      <c r="P88" s="78">
        <f t="shared" si="7"/>
        <v>4416</v>
      </c>
      <c r="Q88" s="78"/>
      <c r="R88" s="78"/>
      <c r="S88" s="78"/>
      <c r="T88" s="78">
        <f t="shared" si="10"/>
        <v>4416</v>
      </c>
      <c r="U88" s="78"/>
      <c r="V88" s="78"/>
      <c r="W88" s="78"/>
    </row>
    <row r="89" spans="1:23" ht="52.5" customHeight="1">
      <c r="A89" s="12">
        <v>82</v>
      </c>
      <c r="B89" s="10" t="s">
        <v>100</v>
      </c>
      <c r="C89" s="14" t="s">
        <v>99</v>
      </c>
      <c r="D89" s="16">
        <v>1</v>
      </c>
      <c r="E89" s="8" t="s">
        <v>390</v>
      </c>
      <c r="F89" s="19">
        <v>3</v>
      </c>
      <c r="G89" s="66" t="s">
        <v>402</v>
      </c>
      <c r="H89" s="5"/>
      <c r="I89" s="28" t="s">
        <v>77</v>
      </c>
      <c r="J89" s="28" t="s">
        <v>1006</v>
      </c>
      <c r="K89" s="28" t="s">
        <v>1018</v>
      </c>
      <c r="L89" s="354" t="s">
        <v>797</v>
      </c>
      <c r="M89" s="233">
        <f>'Dados Detalhados'!$L$849</f>
        <v>132</v>
      </c>
      <c r="N89" s="233">
        <f>'Dados Detalhados'!$L$850</f>
        <v>110</v>
      </c>
      <c r="O89" s="233">
        <f>'Dados Detalhados'!$L$851</f>
        <v>220</v>
      </c>
      <c r="P89" s="78">
        <f t="shared" si="7"/>
        <v>462</v>
      </c>
      <c r="Q89" s="78"/>
      <c r="R89" s="78"/>
      <c r="S89" s="78"/>
      <c r="T89" s="78">
        <f t="shared" si="10"/>
        <v>462</v>
      </c>
      <c r="U89" s="78"/>
      <c r="V89" s="78"/>
      <c r="W89" s="78"/>
    </row>
    <row r="90" spans="1:23" ht="52.5" customHeight="1">
      <c r="A90" s="12">
        <v>83</v>
      </c>
      <c r="B90" s="18" t="s">
        <v>98</v>
      </c>
      <c r="C90" s="18" t="s">
        <v>97</v>
      </c>
      <c r="D90" s="16">
        <v>1</v>
      </c>
      <c r="E90" s="8" t="s">
        <v>390</v>
      </c>
      <c r="F90" s="19">
        <v>3</v>
      </c>
      <c r="G90" s="66" t="s">
        <v>402</v>
      </c>
      <c r="H90" s="17" t="s">
        <v>303</v>
      </c>
      <c r="I90" s="28" t="s">
        <v>77</v>
      </c>
      <c r="J90" s="28" t="s">
        <v>1009</v>
      </c>
      <c r="K90" s="28" t="s">
        <v>1018</v>
      </c>
      <c r="L90" s="354" t="s">
        <v>798</v>
      </c>
      <c r="M90" s="224">
        <f>'Dados Detalhados'!$L$855</f>
        <v>1783.86</v>
      </c>
      <c r="N90" s="224">
        <f>'Dados Detalhados'!$L$856</f>
        <v>1134.3599999999999</v>
      </c>
      <c r="O90" s="224">
        <f>'Dados Detalhados'!$L$857</f>
        <v>3058.62</v>
      </c>
      <c r="P90" s="78">
        <f t="shared" si="7"/>
        <v>5976.84</v>
      </c>
      <c r="Q90" s="78">
        <f t="shared" si="8"/>
        <v>5976.84</v>
      </c>
      <c r="R90" s="78"/>
      <c r="S90" s="78"/>
      <c r="T90" s="78"/>
      <c r="U90" s="78"/>
      <c r="V90" s="78"/>
      <c r="W90" s="78"/>
    </row>
    <row r="91" spans="1:23" ht="52.5" customHeight="1">
      <c r="A91" s="12">
        <v>84</v>
      </c>
      <c r="B91" s="10" t="s">
        <v>96</v>
      </c>
      <c r="C91" s="14" t="s">
        <v>95</v>
      </c>
      <c r="D91" s="16">
        <v>2</v>
      </c>
      <c r="E91" s="8" t="s">
        <v>389</v>
      </c>
      <c r="F91" s="19">
        <v>2</v>
      </c>
      <c r="G91" s="66" t="s">
        <v>400</v>
      </c>
      <c r="H91" s="5" t="s">
        <v>302</v>
      </c>
      <c r="I91" s="28" t="s">
        <v>77</v>
      </c>
      <c r="J91" s="28" t="s">
        <v>1007</v>
      </c>
      <c r="K91" s="28" t="s">
        <v>1016</v>
      </c>
      <c r="L91" s="354" t="s">
        <v>799</v>
      </c>
      <c r="M91" s="43">
        <f>'Dados Detalhados'!$L$874</f>
        <v>3182.41</v>
      </c>
      <c r="N91" s="43">
        <v>0</v>
      </c>
      <c r="O91" s="43">
        <v>0</v>
      </c>
      <c r="P91" s="78">
        <f t="shared" si="7"/>
        <v>3182.41</v>
      </c>
      <c r="Q91" s="78"/>
      <c r="R91" s="78"/>
      <c r="S91" s="78"/>
      <c r="T91" s="78"/>
      <c r="U91" s="78"/>
      <c r="V91" s="78"/>
      <c r="W91" s="78">
        <f t="shared" si="9"/>
        <v>3182.41</v>
      </c>
    </row>
    <row r="92" spans="1:23" ht="52.5" customHeight="1">
      <c r="A92" s="12">
        <v>85</v>
      </c>
      <c r="B92" s="10" t="s">
        <v>94</v>
      </c>
      <c r="C92" s="14" t="s">
        <v>93</v>
      </c>
      <c r="D92" s="16">
        <v>1</v>
      </c>
      <c r="E92" s="8" t="s">
        <v>389</v>
      </c>
      <c r="F92" s="19">
        <v>2</v>
      </c>
      <c r="G92" s="66" t="s">
        <v>400</v>
      </c>
      <c r="H92" s="5" t="s">
        <v>301</v>
      </c>
      <c r="I92" s="28" t="s">
        <v>77</v>
      </c>
      <c r="J92" s="28" t="s">
        <v>1006</v>
      </c>
      <c r="K92" s="28" t="s">
        <v>1016</v>
      </c>
      <c r="L92" s="354" t="s">
        <v>800</v>
      </c>
      <c r="M92" s="42">
        <f>'Dados Detalhados'!$L$874</f>
        <v>3182.41</v>
      </c>
      <c r="N92" s="42">
        <f>'Dados Detalhados'!$L$874</f>
        <v>3182.41</v>
      </c>
      <c r="O92" s="42">
        <f>'Dados Detalhados'!$L$874</f>
        <v>3182.41</v>
      </c>
      <c r="P92" s="78">
        <f t="shared" si="7"/>
        <v>9547.23</v>
      </c>
      <c r="Q92" s="78">
        <f t="shared" si="8"/>
        <v>9547.23</v>
      </c>
      <c r="R92" s="78"/>
      <c r="S92" s="78"/>
      <c r="T92" s="78"/>
      <c r="U92" s="78"/>
      <c r="V92" s="78"/>
      <c r="W92" s="78"/>
    </row>
    <row r="93" spans="1:23" ht="52.5" customHeight="1">
      <c r="A93" s="12">
        <v>86</v>
      </c>
      <c r="B93" s="10" t="s">
        <v>92</v>
      </c>
      <c r="C93" s="14" t="s">
        <v>91</v>
      </c>
      <c r="D93" s="16">
        <v>1</v>
      </c>
      <c r="E93" s="8" t="s">
        <v>390</v>
      </c>
      <c r="F93" s="19">
        <v>3</v>
      </c>
      <c r="G93" s="66" t="s">
        <v>402</v>
      </c>
      <c r="H93" s="5" t="s">
        <v>300</v>
      </c>
      <c r="I93" s="28" t="s">
        <v>77</v>
      </c>
      <c r="J93" s="28" t="s">
        <v>1006</v>
      </c>
      <c r="K93" s="28" t="s">
        <v>1022</v>
      </c>
      <c r="L93" s="354" t="s">
        <v>847</v>
      </c>
      <c r="M93" s="224">
        <f>'Dados Detalhados'!$L$886</f>
        <v>3070.2</v>
      </c>
      <c r="N93" s="224">
        <f>'Dados Detalhados'!$L$886</f>
        <v>3070.2</v>
      </c>
      <c r="O93" s="224">
        <f>'Dados Detalhados'!$L$886</f>
        <v>3070.2</v>
      </c>
      <c r="P93" s="78">
        <f t="shared" si="7"/>
        <v>9210.5999999999985</v>
      </c>
      <c r="Q93" s="78">
        <f t="shared" si="8"/>
        <v>9210.5999999999985</v>
      </c>
      <c r="R93" s="78"/>
      <c r="S93" s="78"/>
      <c r="T93" s="78"/>
      <c r="U93" s="78"/>
      <c r="V93" s="78"/>
      <c r="W93" s="78"/>
    </row>
    <row r="94" spans="1:23" ht="61.5" customHeight="1">
      <c r="A94" s="12">
        <v>87</v>
      </c>
      <c r="B94" s="10" t="s">
        <v>90</v>
      </c>
      <c r="C94" s="14" t="s">
        <v>89</v>
      </c>
      <c r="D94" s="16">
        <v>3</v>
      </c>
      <c r="E94" s="8" t="s">
        <v>390</v>
      </c>
      <c r="F94" s="19">
        <v>3</v>
      </c>
      <c r="G94" s="66" t="s">
        <v>404</v>
      </c>
      <c r="H94" s="5"/>
      <c r="I94" s="28" t="s">
        <v>77</v>
      </c>
      <c r="J94" s="28" t="s">
        <v>1011</v>
      </c>
      <c r="K94" s="28" t="s">
        <v>1022</v>
      </c>
      <c r="L94" s="354" t="s">
        <v>802</v>
      </c>
      <c r="M94" s="224">
        <f>'Dados Detalhados'!$L$889</f>
        <v>11856.72</v>
      </c>
      <c r="N94" s="43">
        <v>0</v>
      </c>
      <c r="O94" s="43">
        <v>0</v>
      </c>
      <c r="P94" s="78">
        <f t="shared" si="7"/>
        <v>11856.72</v>
      </c>
      <c r="Q94" s="78">
        <f t="shared" si="8"/>
        <v>11856.72</v>
      </c>
      <c r="R94" s="78"/>
      <c r="S94" s="78"/>
      <c r="T94" s="78"/>
      <c r="U94" s="78"/>
      <c r="V94" s="78"/>
      <c r="W94" s="78"/>
    </row>
    <row r="95" spans="1:23" ht="52.5" customHeight="1">
      <c r="A95" s="12">
        <v>88</v>
      </c>
      <c r="B95" s="10" t="s">
        <v>87</v>
      </c>
      <c r="C95" s="14" t="s">
        <v>86</v>
      </c>
      <c r="D95" s="16">
        <v>3</v>
      </c>
      <c r="E95" s="8" t="s">
        <v>390</v>
      </c>
      <c r="F95" s="19">
        <v>3</v>
      </c>
      <c r="G95" s="66" t="s">
        <v>404</v>
      </c>
      <c r="H95" s="5"/>
      <c r="I95" s="28" t="s">
        <v>77</v>
      </c>
      <c r="J95" s="28" t="s">
        <v>1011</v>
      </c>
      <c r="K95" s="28" t="s">
        <v>1022</v>
      </c>
      <c r="L95" s="354" t="s">
        <v>804</v>
      </c>
      <c r="M95" s="43"/>
      <c r="N95" s="43">
        <f>'Dados Detalhados'!$L$907</f>
        <v>11856.72</v>
      </c>
      <c r="O95" s="43">
        <v>0</v>
      </c>
      <c r="P95" s="78">
        <f t="shared" si="7"/>
        <v>11856.72</v>
      </c>
      <c r="Q95" s="78"/>
      <c r="R95" s="78"/>
      <c r="S95" s="78"/>
      <c r="T95" s="78"/>
      <c r="U95" s="78"/>
      <c r="V95" s="78"/>
      <c r="W95" s="78">
        <f t="shared" si="9"/>
        <v>11856.72</v>
      </c>
    </row>
    <row r="96" spans="1:23" ht="52.5" customHeight="1">
      <c r="A96" s="12">
        <v>89</v>
      </c>
      <c r="B96" s="10" t="s">
        <v>85</v>
      </c>
      <c r="C96" s="14" t="s">
        <v>84</v>
      </c>
      <c r="D96" s="16">
        <v>2</v>
      </c>
      <c r="E96" s="8" t="s">
        <v>390</v>
      </c>
      <c r="F96" s="19">
        <v>3</v>
      </c>
      <c r="G96" s="66" t="s">
        <v>402</v>
      </c>
      <c r="H96" s="5"/>
      <c r="I96" s="28" t="s">
        <v>77</v>
      </c>
      <c r="J96" s="28" t="s">
        <v>1006</v>
      </c>
      <c r="K96" s="28" t="s">
        <v>1022</v>
      </c>
      <c r="L96" s="354" t="s">
        <v>805</v>
      </c>
      <c r="M96" s="47">
        <f>'Dados Detalhados'!$L$925</f>
        <v>3000</v>
      </c>
      <c r="N96" s="47">
        <f>'Dados Detalhados'!$L$925</f>
        <v>3000</v>
      </c>
      <c r="O96" s="47">
        <f>'Dados Detalhados'!$L$925</f>
        <v>3000</v>
      </c>
      <c r="P96" s="78">
        <f t="shared" si="7"/>
        <v>9000</v>
      </c>
      <c r="Q96" s="78"/>
      <c r="R96" s="78"/>
      <c r="S96" s="78"/>
      <c r="T96" s="78"/>
      <c r="U96" s="78"/>
      <c r="V96" s="78"/>
      <c r="W96" s="78">
        <f t="shared" si="9"/>
        <v>9000</v>
      </c>
    </row>
    <row r="97" spans="1:23" ht="62.25" customHeight="1">
      <c r="A97" s="12">
        <v>90</v>
      </c>
      <c r="B97" s="10" t="s">
        <v>83</v>
      </c>
      <c r="C97" s="14" t="s">
        <v>82</v>
      </c>
      <c r="D97" s="16">
        <v>1</v>
      </c>
      <c r="E97" s="8" t="s">
        <v>390</v>
      </c>
      <c r="F97" s="19">
        <v>3</v>
      </c>
      <c r="G97" s="66" t="s">
        <v>402</v>
      </c>
      <c r="H97" s="5"/>
      <c r="I97" s="28" t="s">
        <v>77</v>
      </c>
      <c r="J97" s="28" t="s">
        <v>1007</v>
      </c>
      <c r="K97" s="28" t="s">
        <v>1017</v>
      </c>
      <c r="L97" s="354" t="s">
        <v>807</v>
      </c>
      <c r="M97" s="47"/>
      <c r="N97" s="47">
        <f>'Dados Detalhados'!$L$928</f>
        <v>6143.39</v>
      </c>
      <c r="O97" s="43">
        <v>0</v>
      </c>
      <c r="P97" s="78">
        <f t="shared" si="7"/>
        <v>6143.39</v>
      </c>
      <c r="Q97" s="78"/>
      <c r="R97" s="78"/>
      <c r="S97" s="78"/>
      <c r="T97" s="78"/>
      <c r="U97" s="78"/>
      <c r="V97" s="78"/>
      <c r="W97" s="78">
        <f t="shared" si="9"/>
        <v>6143.39</v>
      </c>
    </row>
    <row r="98" spans="1:23" ht="52.5" customHeight="1">
      <c r="A98" s="12">
        <v>91</v>
      </c>
      <c r="B98" s="10" t="s">
        <v>81</v>
      </c>
      <c r="C98" s="14" t="s">
        <v>80</v>
      </c>
      <c r="D98" s="16">
        <v>1</v>
      </c>
      <c r="E98" s="8" t="s">
        <v>390</v>
      </c>
      <c r="F98" s="19">
        <v>3</v>
      </c>
      <c r="G98" s="66" t="s">
        <v>402</v>
      </c>
      <c r="H98" s="5"/>
      <c r="I98" s="28" t="s">
        <v>77</v>
      </c>
      <c r="J98" s="28" t="s">
        <v>1007</v>
      </c>
      <c r="K98" s="28" t="s">
        <v>1017</v>
      </c>
      <c r="L98" s="354" t="s">
        <v>809</v>
      </c>
      <c r="M98" s="47"/>
      <c r="N98" s="47">
        <f>'Dados Detalhados'!$L$944</f>
        <v>9806.06</v>
      </c>
      <c r="O98" s="43">
        <v>0</v>
      </c>
      <c r="P98" s="78">
        <f t="shared" si="7"/>
        <v>9806.06</v>
      </c>
      <c r="Q98" s="78"/>
      <c r="R98" s="78"/>
      <c r="S98" s="78"/>
      <c r="T98" s="78"/>
      <c r="U98" s="78"/>
      <c r="V98" s="78"/>
      <c r="W98" s="78">
        <f t="shared" si="9"/>
        <v>9806.06</v>
      </c>
    </row>
    <row r="99" spans="1:23" ht="52.5" customHeight="1">
      <c r="A99" s="12">
        <v>92</v>
      </c>
      <c r="B99" s="10" t="s">
        <v>79</v>
      </c>
      <c r="C99" s="14" t="s">
        <v>78</v>
      </c>
      <c r="D99" s="6">
        <v>1</v>
      </c>
      <c r="E99" s="8" t="s">
        <v>390</v>
      </c>
      <c r="F99" s="19">
        <v>3</v>
      </c>
      <c r="G99" s="66" t="s">
        <v>402</v>
      </c>
      <c r="H99" s="5"/>
      <c r="I99" s="28" t="s">
        <v>77</v>
      </c>
      <c r="J99" s="28" t="s">
        <v>1006</v>
      </c>
      <c r="K99" s="28" t="s">
        <v>1018</v>
      </c>
      <c r="L99" s="354" t="s">
        <v>810</v>
      </c>
      <c r="M99" s="48">
        <f>'Dados Detalhados'!$L$963</f>
        <v>2500</v>
      </c>
      <c r="N99" s="48">
        <f>'Dados Detalhados'!$L$964</f>
        <v>2500</v>
      </c>
      <c r="O99" s="48">
        <f>'Dados Detalhados'!$L$965</f>
        <v>2500</v>
      </c>
      <c r="P99" s="78">
        <f t="shared" si="7"/>
        <v>7500</v>
      </c>
      <c r="Q99" s="78"/>
      <c r="R99" s="78"/>
      <c r="S99" s="78"/>
      <c r="T99" s="78"/>
      <c r="U99" s="78">
        <f t="shared" ref="U99:U132" si="11">+P99</f>
        <v>7500</v>
      </c>
      <c r="V99" s="78"/>
      <c r="W99" s="78"/>
    </row>
    <row r="100" spans="1:23" ht="52.5" customHeight="1">
      <c r="A100" s="12">
        <v>93</v>
      </c>
      <c r="B100" s="10" t="s">
        <v>76</v>
      </c>
      <c r="C100" s="10" t="s">
        <v>75</v>
      </c>
      <c r="D100" s="15">
        <v>1</v>
      </c>
      <c r="E100" s="8" t="s">
        <v>42</v>
      </c>
      <c r="F100" s="8">
        <v>4</v>
      </c>
      <c r="G100" s="67" t="s">
        <v>406</v>
      </c>
      <c r="H100" s="9" t="s">
        <v>299</v>
      </c>
      <c r="I100" s="28" t="s">
        <v>41</v>
      </c>
      <c r="J100" s="28" t="s">
        <v>1006</v>
      </c>
      <c r="K100" s="310" t="s">
        <v>1023</v>
      </c>
      <c r="L100" s="354" t="s">
        <v>811</v>
      </c>
      <c r="M100" s="42">
        <f>'Dados Detalhados'!$L$966</f>
        <v>0</v>
      </c>
      <c r="N100" s="42">
        <f>'Dados Detalhados'!$L$966</f>
        <v>0</v>
      </c>
      <c r="O100" s="42">
        <f>'Dados Detalhados'!$L$966</f>
        <v>0</v>
      </c>
      <c r="P100" s="78">
        <f t="shared" si="7"/>
        <v>0</v>
      </c>
      <c r="Q100" s="78">
        <f t="shared" si="8"/>
        <v>0</v>
      </c>
      <c r="R100" s="78">
        <f t="shared" ref="R100:R132" si="12">+P100</f>
        <v>0</v>
      </c>
      <c r="S100" s="78">
        <f t="shared" ref="S100:S132" si="13">+P100</f>
        <v>0</v>
      </c>
      <c r="T100" s="78">
        <f t="shared" si="10"/>
        <v>0</v>
      </c>
      <c r="U100" s="78">
        <f t="shared" si="11"/>
        <v>0</v>
      </c>
      <c r="V100" s="78"/>
      <c r="W100" s="78">
        <f t="shared" si="9"/>
        <v>0</v>
      </c>
    </row>
    <row r="101" spans="1:23" ht="52.5" customHeight="1">
      <c r="A101" s="12">
        <v>94</v>
      </c>
      <c r="B101" s="10" t="s">
        <v>74</v>
      </c>
      <c r="C101" s="10" t="s">
        <v>73</v>
      </c>
      <c r="D101" s="15">
        <v>1</v>
      </c>
      <c r="E101" s="8" t="s">
        <v>42</v>
      </c>
      <c r="F101" s="8">
        <v>4</v>
      </c>
      <c r="G101" s="67" t="s">
        <v>406</v>
      </c>
      <c r="H101" s="9" t="s">
        <v>298</v>
      </c>
      <c r="I101" s="28" t="s">
        <v>41</v>
      </c>
      <c r="J101" s="28" t="s">
        <v>1006</v>
      </c>
      <c r="K101" s="28" t="s">
        <v>1023</v>
      </c>
      <c r="L101" s="355" t="s">
        <v>813</v>
      </c>
      <c r="M101" s="43">
        <v>0</v>
      </c>
      <c r="N101" s="43">
        <v>0</v>
      </c>
      <c r="O101" s="43">
        <v>0</v>
      </c>
      <c r="P101" s="78">
        <f t="shared" si="7"/>
        <v>0</v>
      </c>
      <c r="Q101" s="78"/>
      <c r="R101" s="78"/>
      <c r="S101" s="78"/>
      <c r="T101" s="78"/>
      <c r="U101" s="78"/>
      <c r="V101" s="78"/>
      <c r="W101" s="78">
        <f t="shared" si="9"/>
        <v>0</v>
      </c>
    </row>
    <row r="102" spans="1:23" ht="52.5" customHeight="1">
      <c r="A102" s="12">
        <v>95</v>
      </c>
      <c r="B102" s="10" t="s">
        <v>72</v>
      </c>
      <c r="C102" s="10" t="s">
        <v>71</v>
      </c>
      <c r="D102" s="15">
        <v>1</v>
      </c>
      <c r="E102" s="8" t="s">
        <v>42</v>
      </c>
      <c r="F102" s="8">
        <v>4</v>
      </c>
      <c r="G102" s="67" t="s">
        <v>406</v>
      </c>
      <c r="H102" s="9" t="s">
        <v>297</v>
      </c>
      <c r="I102" s="28" t="s">
        <v>41</v>
      </c>
      <c r="J102" s="28" t="s">
        <v>1006</v>
      </c>
      <c r="K102" s="28" t="s">
        <v>1023</v>
      </c>
      <c r="L102" s="354" t="s">
        <v>849</v>
      </c>
      <c r="M102" s="42">
        <f>'Dados Detalhados'!$L$996</f>
        <v>0</v>
      </c>
      <c r="N102" s="42">
        <f>'Dados Detalhados'!$L$996</f>
        <v>0</v>
      </c>
      <c r="O102" s="42">
        <f>'Dados Detalhados'!$L$996</f>
        <v>0</v>
      </c>
      <c r="P102" s="78">
        <f t="shared" si="7"/>
        <v>0</v>
      </c>
      <c r="Q102" s="78">
        <f t="shared" si="8"/>
        <v>0</v>
      </c>
      <c r="R102" s="78">
        <f t="shared" si="12"/>
        <v>0</v>
      </c>
      <c r="S102" s="78">
        <f t="shared" si="13"/>
        <v>0</v>
      </c>
      <c r="T102" s="78">
        <f t="shared" si="10"/>
        <v>0</v>
      </c>
      <c r="U102" s="78">
        <f t="shared" si="11"/>
        <v>0</v>
      </c>
      <c r="V102" s="78"/>
      <c r="W102" s="78">
        <f t="shared" si="9"/>
        <v>0</v>
      </c>
    </row>
    <row r="103" spans="1:23" ht="52.5" customHeight="1">
      <c r="A103" s="12">
        <v>96</v>
      </c>
      <c r="B103" s="10" t="s">
        <v>70</v>
      </c>
      <c r="C103" s="10" t="s">
        <v>69</v>
      </c>
      <c r="D103" s="15">
        <v>1</v>
      </c>
      <c r="E103" s="8" t="s">
        <v>42</v>
      </c>
      <c r="F103" s="8">
        <v>4</v>
      </c>
      <c r="G103" s="67" t="s">
        <v>406</v>
      </c>
      <c r="H103" s="9" t="s">
        <v>296</v>
      </c>
      <c r="I103" s="28" t="s">
        <v>41</v>
      </c>
      <c r="J103" s="28" t="s">
        <v>1006</v>
      </c>
      <c r="K103" s="28" t="s">
        <v>1023</v>
      </c>
      <c r="L103" s="354" t="s">
        <v>814</v>
      </c>
      <c r="M103" s="224">
        <f>'Dados Detalhados'!$L$1000</f>
        <v>366.67</v>
      </c>
      <c r="N103" s="224">
        <f>'Dados Detalhados'!$L$1000</f>
        <v>366.67</v>
      </c>
      <c r="O103" s="224">
        <f>'Dados Detalhados'!$L$1000</f>
        <v>366.67</v>
      </c>
      <c r="P103" s="78">
        <f t="shared" si="7"/>
        <v>1100.01</v>
      </c>
      <c r="Q103" s="78">
        <f t="shared" si="8"/>
        <v>1100.01</v>
      </c>
      <c r="R103" s="78"/>
      <c r="S103" s="78"/>
      <c r="T103" s="78"/>
      <c r="U103" s="78"/>
      <c r="V103" s="78"/>
      <c r="W103" s="78"/>
    </row>
    <row r="104" spans="1:23" ht="52.5" customHeight="1">
      <c r="A104" s="12">
        <v>97</v>
      </c>
      <c r="B104" s="10" t="s">
        <v>68</v>
      </c>
      <c r="C104" s="14" t="s">
        <v>67</v>
      </c>
      <c r="D104" s="15">
        <v>1</v>
      </c>
      <c r="E104" s="8" t="s">
        <v>42</v>
      </c>
      <c r="F104" s="8">
        <v>4</v>
      </c>
      <c r="G104" s="67" t="s">
        <v>405</v>
      </c>
      <c r="H104" s="5" t="s">
        <v>295</v>
      </c>
      <c r="I104" s="28" t="s">
        <v>41</v>
      </c>
      <c r="J104" s="28" t="s">
        <v>1006</v>
      </c>
      <c r="K104" s="28" t="s">
        <v>1018</v>
      </c>
      <c r="L104" s="354"/>
      <c r="M104" s="48">
        <f>'Dados Detalhados'!$L$1008</f>
        <v>951</v>
      </c>
      <c r="N104" s="48">
        <f>'Dados Detalhados'!$L$1009</f>
        <v>963</v>
      </c>
      <c r="O104" s="48">
        <f>'Dados Detalhados'!$L$1010</f>
        <v>975</v>
      </c>
      <c r="P104" s="78">
        <f t="shared" si="7"/>
        <v>2889</v>
      </c>
      <c r="Q104" s="78"/>
      <c r="R104" s="78"/>
      <c r="S104" s="78"/>
      <c r="T104" s="78"/>
      <c r="U104" s="78">
        <f t="shared" si="11"/>
        <v>2889</v>
      </c>
      <c r="V104" s="78"/>
      <c r="W104" s="78"/>
    </row>
    <row r="105" spans="1:23" ht="52.5" customHeight="1">
      <c r="A105" s="12">
        <v>98</v>
      </c>
      <c r="B105" s="13" t="s">
        <v>66</v>
      </c>
      <c r="C105" s="13" t="s">
        <v>65</v>
      </c>
      <c r="D105" s="15">
        <v>1</v>
      </c>
      <c r="E105" s="8" t="s">
        <v>42</v>
      </c>
      <c r="F105" s="8">
        <v>4</v>
      </c>
      <c r="G105" s="67" t="s">
        <v>405</v>
      </c>
      <c r="H105" s="7" t="s">
        <v>294</v>
      </c>
      <c r="I105" s="28" t="s">
        <v>41</v>
      </c>
      <c r="J105" s="28" t="s">
        <v>1006</v>
      </c>
      <c r="K105" s="28" t="s">
        <v>1018</v>
      </c>
      <c r="L105" s="354" t="s">
        <v>815</v>
      </c>
      <c r="M105" s="47">
        <f>'Dados Detalhados'!$L$1011</f>
        <v>1262.48</v>
      </c>
      <c r="N105" s="47">
        <f>'Dados Detalhados'!$L$1011</f>
        <v>1262.48</v>
      </c>
      <c r="O105" s="47">
        <f>'Dados Detalhados'!$L$1011</f>
        <v>1262.48</v>
      </c>
      <c r="P105" s="78">
        <f t="shared" si="7"/>
        <v>3787.44</v>
      </c>
      <c r="Q105" s="78"/>
      <c r="R105" s="78"/>
      <c r="S105" s="78"/>
      <c r="T105" s="78"/>
      <c r="U105" s="78"/>
      <c r="V105" s="78"/>
      <c r="W105" s="78">
        <f t="shared" si="9"/>
        <v>3787.44</v>
      </c>
    </row>
    <row r="106" spans="1:23" ht="52.5" customHeight="1">
      <c r="A106" s="12">
        <v>99</v>
      </c>
      <c r="B106" s="10" t="s">
        <v>64</v>
      </c>
      <c r="C106" s="10" t="s">
        <v>63</v>
      </c>
      <c r="D106" s="15">
        <v>1</v>
      </c>
      <c r="E106" s="8" t="s">
        <v>42</v>
      </c>
      <c r="F106" s="8">
        <v>4</v>
      </c>
      <c r="G106" s="67" t="s">
        <v>406</v>
      </c>
      <c r="H106" s="9"/>
      <c r="I106" s="28" t="s">
        <v>41</v>
      </c>
      <c r="J106" s="28" t="s">
        <v>1006</v>
      </c>
      <c r="K106" s="28" t="s">
        <v>1023</v>
      </c>
      <c r="L106" s="354" t="s">
        <v>811</v>
      </c>
      <c r="M106" s="42">
        <f>'Dados Detalhados'!$L$1013</f>
        <v>0</v>
      </c>
      <c r="N106" s="42">
        <f>'Dados Detalhados'!$L$1013</f>
        <v>0</v>
      </c>
      <c r="O106" s="42">
        <f>'Dados Detalhados'!$L$1013</f>
        <v>0</v>
      </c>
      <c r="P106" s="78">
        <f t="shared" si="7"/>
        <v>0</v>
      </c>
      <c r="Q106" s="78"/>
      <c r="R106" s="78"/>
      <c r="S106" s="78"/>
      <c r="T106" s="78"/>
      <c r="U106" s="78"/>
      <c r="V106" s="78"/>
      <c r="W106" s="78">
        <f t="shared" si="9"/>
        <v>0</v>
      </c>
    </row>
    <row r="107" spans="1:23" ht="52.5" customHeight="1">
      <c r="A107" s="12">
        <v>100</v>
      </c>
      <c r="B107" s="10" t="s">
        <v>62</v>
      </c>
      <c r="C107" s="10" t="s">
        <v>61</v>
      </c>
      <c r="D107" s="15">
        <v>1</v>
      </c>
      <c r="E107" s="8" t="s">
        <v>42</v>
      </c>
      <c r="F107" s="8">
        <v>4</v>
      </c>
      <c r="G107" s="67" t="s">
        <v>406</v>
      </c>
      <c r="H107" s="9" t="s">
        <v>293</v>
      </c>
      <c r="I107" s="28" t="s">
        <v>41</v>
      </c>
      <c r="J107" s="28" t="s">
        <v>1006</v>
      </c>
      <c r="K107" s="28" t="s">
        <v>1023</v>
      </c>
      <c r="L107" s="354" t="s">
        <v>851</v>
      </c>
      <c r="M107" s="42">
        <f>'Dados Detalhados'!$L$1016</f>
        <v>0</v>
      </c>
      <c r="N107" s="42">
        <f>'Dados Detalhados'!$L$1016</f>
        <v>0</v>
      </c>
      <c r="O107" s="42">
        <f>'Dados Detalhados'!$L$1016</f>
        <v>0</v>
      </c>
      <c r="P107" s="78">
        <f t="shared" si="7"/>
        <v>0</v>
      </c>
      <c r="Q107" s="78"/>
      <c r="R107" s="78"/>
      <c r="S107" s="78"/>
      <c r="T107" s="78"/>
      <c r="U107" s="78"/>
      <c r="V107" s="78"/>
      <c r="W107" s="78">
        <f t="shared" si="9"/>
        <v>0</v>
      </c>
    </row>
    <row r="108" spans="1:23" ht="52.5" customHeight="1">
      <c r="A108" s="12">
        <v>101</v>
      </c>
      <c r="B108" s="10" t="s">
        <v>60</v>
      </c>
      <c r="C108" s="10" t="s">
        <v>59</v>
      </c>
      <c r="D108" s="15">
        <v>1</v>
      </c>
      <c r="E108" s="8" t="s">
        <v>42</v>
      </c>
      <c r="F108" s="8">
        <v>4</v>
      </c>
      <c r="G108" s="67" t="s">
        <v>405</v>
      </c>
      <c r="H108" s="9" t="s">
        <v>292</v>
      </c>
      <c r="I108" s="28" t="s">
        <v>41</v>
      </c>
      <c r="J108" s="28" t="s">
        <v>1012</v>
      </c>
      <c r="K108" s="28" t="s">
        <v>1023</v>
      </c>
      <c r="L108" s="354" t="s">
        <v>816</v>
      </c>
      <c r="M108" s="48">
        <f>'Dados Detalhados'!$L$1023</f>
        <v>2621.6928999999996</v>
      </c>
      <c r="N108" s="48">
        <f>'Dados Detalhados'!$L$1024</f>
        <v>2621.6928999999996</v>
      </c>
      <c r="O108" s="48">
        <f>'Dados Detalhados'!$L$1025</f>
        <v>2621.6928999999996</v>
      </c>
      <c r="P108" s="78">
        <f t="shared" si="7"/>
        <v>7865.0786999999982</v>
      </c>
      <c r="Q108" s="78"/>
      <c r="R108" s="78"/>
      <c r="S108" s="78"/>
      <c r="T108" s="78"/>
      <c r="U108" s="78">
        <f t="shared" si="11"/>
        <v>7865.0786999999982</v>
      </c>
      <c r="V108" s="78"/>
      <c r="W108" s="78"/>
    </row>
    <row r="109" spans="1:23" ht="52.5" customHeight="1">
      <c r="A109" s="12">
        <v>102</v>
      </c>
      <c r="B109" s="14" t="s">
        <v>58</v>
      </c>
      <c r="C109" s="14" t="s">
        <v>57</v>
      </c>
      <c r="D109" s="15">
        <v>1</v>
      </c>
      <c r="E109" s="8" t="s">
        <v>42</v>
      </c>
      <c r="F109" s="8">
        <v>4</v>
      </c>
      <c r="G109" s="67" t="s">
        <v>405</v>
      </c>
      <c r="H109" s="5" t="s">
        <v>291</v>
      </c>
      <c r="I109" s="28" t="s">
        <v>41</v>
      </c>
      <c r="J109" s="28" t="s">
        <v>1006</v>
      </c>
      <c r="K109" s="28" t="s">
        <v>1023</v>
      </c>
      <c r="L109" s="354" t="s">
        <v>852</v>
      </c>
      <c r="M109" s="42">
        <f>'Dados Detalhados'!$L$1026</f>
        <v>0</v>
      </c>
      <c r="N109" s="42">
        <f>'Dados Detalhados'!$L$1026</f>
        <v>0</v>
      </c>
      <c r="O109" s="42">
        <f>'Dados Detalhados'!$L$1026</f>
        <v>0</v>
      </c>
      <c r="P109" s="78">
        <f t="shared" si="7"/>
        <v>0</v>
      </c>
      <c r="Q109" s="78">
        <f t="shared" si="8"/>
        <v>0</v>
      </c>
      <c r="R109" s="78">
        <f t="shared" si="12"/>
        <v>0</v>
      </c>
      <c r="S109" s="78">
        <f t="shared" si="13"/>
        <v>0</v>
      </c>
      <c r="T109" s="78">
        <f t="shared" si="10"/>
        <v>0</v>
      </c>
      <c r="U109" s="78">
        <f t="shared" si="11"/>
        <v>0</v>
      </c>
      <c r="V109" s="78"/>
      <c r="W109" s="78">
        <f t="shared" si="9"/>
        <v>0</v>
      </c>
    </row>
    <row r="110" spans="1:23" ht="52.5" customHeight="1">
      <c r="A110" s="12">
        <v>103</v>
      </c>
      <c r="B110" s="10" t="s">
        <v>56</v>
      </c>
      <c r="C110" s="14" t="s">
        <v>55</v>
      </c>
      <c r="D110" s="15">
        <v>1</v>
      </c>
      <c r="E110" s="8" t="s">
        <v>42</v>
      </c>
      <c r="F110" s="8">
        <v>4</v>
      </c>
      <c r="G110" s="67" t="s">
        <v>406</v>
      </c>
      <c r="H110" s="5"/>
      <c r="I110" s="28" t="s">
        <v>41</v>
      </c>
      <c r="J110" s="28" t="s">
        <v>1007</v>
      </c>
      <c r="K110" s="28" t="s">
        <v>1023</v>
      </c>
      <c r="L110" s="354"/>
      <c r="M110" s="43">
        <v>0</v>
      </c>
      <c r="N110" s="43">
        <v>0</v>
      </c>
      <c r="O110" s="43">
        <v>0</v>
      </c>
      <c r="P110" s="78">
        <f t="shared" si="7"/>
        <v>0</v>
      </c>
      <c r="Q110" s="78">
        <f t="shared" si="8"/>
        <v>0</v>
      </c>
      <c r="R110" s="78"/>
      <c r="S110" s="78"/>
      <c r="T110" s="78"/>
      <c r="U110" s="78"/>
      <c r="V110" s="78"/>
      <c r="W110" s="78"/>
    </row>
    <row r="111" spans="1:23" ht="52.5" customHeight="1">
      <c r="A111" s="12">
        <v>104</v>
      </c>
      <c r="B111" s="10" t="s">
        <v>54</v>
      </c>
      <c r="C111" s="14" t="s">
        <v>53</v>
      </c>
      <c r="D111" s="15">
        <v>1</v>
      </c>
      <c r="E111" s="8" t="s">
        <v>42</v>
      </c>
      <c r="F111" s="8">
        <v>4</v>
      </c>
      <c r="G111" s="67" t="s">
        <v>406</v>
      </c>
      <c r="H111" s="5"/>
      <c r="I111" s="28" t="s">
        <v>41</v>
      </c>
      <c r="J111" s="28" t="s">
        <v>1007</v>
      </c>
      <c r="K111" s="28" t="s">
        <v>1023</v>
      </c>
      <c r="L111" s="354" t="s">
        <v>818</v>
      </c>
      <c r="M111" s="43"/>
      <c r="N111" s="224">
        <f>'Dados Detalhados'!$L$1045</f>
        <v>9994.2199999999993</v>
      </c>
      <c r="O111" s="43">
        <v>0</v>
      </c>
      <c r="P111" s="78">
        <f t="shared" si="7"/>
        <v>9994.2199999999993</v>
      </c>
      <c r="Q111" s="78">
        <f t="shared" si="8"/>
        <v>9994.2199999999993</v>
      </c>
      <c r="R111" s="78"/>
      <c r="S111" s="78"/>
      <c r="T111" s="78"/>
      <c r="U111" s="78"/>
      <c r="V111" s="78"/>
      <c r="W111" s="78"/>
    </row>
    <row r="112" spans="1:23" ht="52.5" customHeight="1">
      <c r="A112" s="12">
        <v>105</v>
      </c>
      <c r="B112" s="10" t="s">
        <v>52</v>
      </c>
      <c r="C112" s="14" t="s">
        <v>51</v>
      </c>
      <c r="D112" s="15">
        <v>1</v>
      </c>
      <c r="E112" s="8" t="s">
        <v>42</v>
      </c>
      <c r="F112" s="8">
        <v>4</v>
      </c>
      <c r="G112" s="67" t="s">
        <v>405</v>
      </c>
      <c r="H112" s="5"/>
      <c r="I112" s="28" t="s">
        <v>41</v>
      </c>
      <c r="J112" s="28" t="s">
        <v>1012</v>
      </c>
      <c r="K112" s="28" t="s">
        <v>1018</v>
      </c>
      <c r="L112" s="354" t="s">
        <v>819</v>
      </c>
      <c r="M112" s="42">
        <f>'Dados Detalhados'!$L$1061</f>
        <v>0</v>
      </c>
      <c r="N112" s="42">
        <f>'Dados Detalhados'!$L$1061</f>
        <v>0</v>
      </c>
      <c r="O112" s="42">
        <f>'Dados Detalhados'!$L$1061</f>
        <v>0</v>
      </c>
      <c r="P112" s="78">
        <f t="shared" si="7"/>
        <v>0</v>
      </c>
      <c r="Q112" s="78">
        <f t="shared" si="8"/>
        <v>0</v>
      </c>
      <c r="R112" s="78">
        <f t="shared" si="12"/>
        <v>0</v>
      </c>
      <c r="S112" s="78">
        <f t="shared" si="13"/>
        <v>0</v>
      </c>
      <c r="T112" s="78">
        <f t="shared" si="10"/>
        <v>0</v>
      </c>
      <c r="U112" s="78">
        <f t="shared" si="11"/>
        <v>0</v>
      </c>
      <c r="V112" s="78"/>
      <c r="W112" s="78">
        <f t="shared" si="9"/>
        <v>0</v>
      </c>
    </row>
    <row r="113" spans="1:23" ht="52.5" customHeight="1">
      <c r="A113" s="12">
        <v>106</v>
      </c>
      <c r="B113" s="10" t="s">
        <v>50</v>
      </c>
      <c r="C113" s="14" t="s">
        <v>49</v>
      </c>
      <c r="D113" s="15">
        <v>1</v>
      </c>
      <c r="E113" s="8" t="s">
        <v>42</v>
      </c>
      <c r="F113" s="8">
        <v>4</v>
      </c>
      <c r="G113" s="67" t="s">
        <v>405</v>
      </c>
      <c r="H113" s="5"/>
      <c r="I113" s="28" t="s">
        <v>41</v>
      </c>
      <c r="J113" s="28" t="s">
        <v>1012</v>
      </c>
      <c r="K113" s="28" t="s">
        <v>1018</v>
      </c>
      <c r="L113" s="354" t="s">
        <v>819</v>
      </c>
      <c r="M113" s="42">
        <f>'Dados Detalhados'!$L$1063</f>
        <v>0</v>
      </c>
      <c r="N113" s="42">
        <f>'Dados Detalhados'!$L$1063</f>
        <v>0</v>
      </c>
      <c r="O113" s="42">
        <f>'Dados Detalhados'!$L$1063</f>
        <v>0</v>
      </c>
      <c r="P113" s="78">
        <f t="shared" si="7"/>
        <v>0</v>
      </c>
      <c r="Q113" s="78">
        <f t="shared" si="8"/>
        <v>0</v>
      </c>
      <c r="R113" s="78">
        <f t="shared" si="12"/>
        <v>0</v>
      </c>
      <c r="S113" s="78">
        <f t="shared" si="13"/>
        <v>0</v>
      </c>
      <c r="T113" s="78">
        <f t="shared" si="10"/>
        <v>0</v>
      </c>
      <c r="U113" s="78">
        <f t="shared" si="11"/>
        <v>0</v>
      </c>
      <c r="V113" s="78"/>
      <c r="W113" s="78">
        <f t="shared" si="9"/>
        <v>0</v>
      </c>
    </row>
    <row r="114" spans="1:23" ht="52.5" customHeight="1">
      <c r="A114" s="12">
        <v>107</v>
      </c>
      <c r="B114" s="10" t="s">
        <v>48</v>
      </c>
      <c r="C114" s="14" t="s">
        <v>47</v>
      </c>
      <c r="D114" s="15">
        <v>1</v>
      </c>
      <c r="E114" s="8" t="s">
        <v>42</v>
      </c>
      <c r="F114" s="8">
        <v>4</v>
      </c>
      <c r="G114" s="67" t="s">
        <v>405</v>
      </c>
      <c r="H114" s="5"/>
      <c r="I114" s="28" t="s">
        <v>41</v>
      </c>
      <c r="J114" s="28" t="s">
        <v>1012</v>
      </c>
      <c r="K114" s="28" t="s">
        <v>1018</v>
      </c>
      <c r="L114" s="354" t="s">
        <v>820</v>
      </c>
      <c r="M114" s="42">
        <f>'Dados Detalhados'!$L$1065</f>
        <v>0</v>
      </c>
      <c r="N114" s="42">
        <f>'Dados Detalhados'!$L$1065</f>
        <v>0</v>
      </c>
      <c r="O114" s="42">
        <f>'Dados Detalhados'!$L$1065</f>
        <v>0</v>
      </c>
      <c r="P114" s="78">
        <f t="shared" si="7"/>
        <v>0</v>
      </c>
      <c r="Q114" s="78">
        <f t="shared" si="8"/>
        <v>0</v>
      </c>
      <c r="R114" s="78">
        <f t="shared" si="12"/>
        <v>0</v>
      </c>
      <c r="S114" s="78">
        <f t="shared" si="13"/>
        <v>0</v>
      </c>
      <c r="T114" s="78">
        <f t="shared" si="10"/>
        <v>0</v>
      </c>
      <c r="U114" s="78">
        <f t="shared" si="11"/>
        <v>0</v>
      </c>
      <c r="V114" s="78"/>
      <c r="W114" s="78">
        <f t="shared" si="9"/>
        <v>0</v>
      </c>
    </row>
    <row r="115" spans="1:23" ht="52.5" customHeight="1">
      <c r="A115" s="12">
        <v>108</v>
      </c>
      <c r="B115" s="10" t="s">
        <v>46</v>
      </c>
      <c r="C115" s="14" t="s">
        <v>45</v>
      </c>
      <c r="D115" s="15">
        <v>1</v>
      </c>
      <c r="E115" s="8" t="s">
        <v>42</v>
      </c>
      <c r="F115" s="8">
        <v>4</v>
      </c>
      <c r="G115" s="67" t="s">
        <v>406</v>
      </c>
      <c r="H115" s="5"/>
      <c r="I115" s="28" t="s">
        <v>41</v>
      </c>
      <c r="J115" s="28" t="s">
        <v>1006</v>
      </c>
      <c r="K115" s="28" t="s">
        <v>1023</v>
      </c>
      <c r="L115" s="354" t="s">
        <v>821</v>
      </c>
      <c r="M115" s="42">
        <f>'Dados Detalhados'!$L$1067</f>
        <v>2000</v>
      </c>
      <c r="N115" s="42">
        <f>'Dados Detalhados'!$L$1067</f>
        <v>2000</v>
      </c>
      <c r="O115" s="42">
        <f>'Dados Detalhados'!$L$1067</f>
        <v>2000</v>
      </c>
      <c r="P115" s="78">
        <f t="shared" si="7"/>
        <v>6000</v>
      </c>
      <c r="Q115" s="78"/>
      <c r="R115" s="78"/>
      <c r="S115" s="78"/>
      <c r="T115" s="78"/>
      <c r="U115" s="78"/>
      <c r="V115" s="78"/>
      <c r="W115" s="78">
        <f t="shared" si="9"/>
        <v>6000</v>
      </c>
    </row>
    <row r="116" spans="1:23" ht="52.5" customHeight="1">
      <c r="A116" s="12">
        <v>109</v>
      </c>
      <c r="B116" s="26" t="s">
        <v>44</v>
      </c>
      <c r="C116" s="14" t="s">
        <v>43</v>
      </c>
      <c r="D116" s="15">
        <v>1</v>
      </c>
      <c r="E116" s="8" t="s">
        <v>42</v>
      </c>
      <c r="F116" s="8">
        <v>4</v>
      </c>
      <c r="G116" s="67" t="s">
        <v>406</v>
      </c>
      <c r="H116" s="5"/>
      <c r="I116" s="28" t="s">
        <v>41</v>
      </c>
      <c r="J116" s="28" t="s">
        <v>1006</v>
      </c>
      <c r="K116" s="28" t="s">
        <v>1023</v>
      </c>
      <c r="L116" s="354" t="s">
        <v>823</v>
      </c>
      <c r="M116" s="43">
        <v>0</v>
      </c>
      <c r="N116" s="43">
        <v>0</v>
      </c>
      <c r="O116" s="43">
        <v>0</v>
      </c>
      <c r="P116" s="78">
        <f t="shared" si="7"/>
        <v>0</v>
      </c>
      <c r="Q116" s="78"/>
      <c r="R116" s="78"/>
      <c r="S116" s="78"/>
      <c r="T116" s="78"/>
      <c r="U116" s="78">
        <f t="shared" si="11"/>
        <v>0</v>
      </c>
      <c r="V116" s="78"/>
      <c r="W116" s="78"/>
    </row>
    <row r="117" spans="1:23" ht="52.5" customHeight="1">
      <c r="A117" s="12">
        <v>110</v>
      </c>
      <c r="B117" s="10" t="s">
        <v>40</v>
      </c>
      <c r="C117" s="14" t="s">
        <v>39</v>
      </c>
      <c r="D117" s="6">
        <v>1</v>
      </c>
      <c r="E117" s="8" t="s">
        <v>4</v>
      </c>
      <c r="F117" s="8">
        <v>5</v>
      </c>
      <c r="G117" s="66" t="s">
        <v>410</v>
      </c>
      <c r="H117" s="5" t="s">
        <v>290</v>
      </c>
      <c r="I117" s="28" t="s">
        <v>3</v>
      </c>
      <c r="J117" s="28" t="s">
        <v>1006</v>
      </c>
      <c r="K117" s="310" t="s">
        <v>1024</v>
      </c>
      <c r="L117" s="354" t="s">
        <v>824</v>
      </c>
      <c r="M117" s="43">
        <v>0</v>
      </c>
      <c r="N117" s="224">
        <f>'Dados Detalhados'!$L$1097</f>
        <v>2070.59</v>
      </c>
      <c r="O117" s="43">
        <v>0</v>
      </c>
      <c r="P117" s="78">
        <f t="shared" si="7"/>
        <v>2070.59</v>
      </c>
      <c r="Q117" s="78">
        <f t="shared" si="8"/>
        <v>2070.59</v>
      </c>
      <c r="R117" s="78"/>
      <c r="S117" s="78"/>
      <c r="T117" s="78"/>
      <c r="U117" s="78"/>
      <c r="V117" s="78"/>
      <c r="W117" s="78"/>
    </row>
    <row r="118" spans="1:23" ht="52.5" customHeight="1">
      <c r="A118" s="12">
        <v>111</v>
      </c>
      <c r="B118" s="10" t="s">
        <v>38</v>
      </c>
      <c r="C118" s="14" t="s">
        <v>37</v>
      </c>
      <c r="D118" s="6">
        <v>1</v>
      </c>
      <c r="E118" s="8" t="s">
        <v>4</v>
      </c>
      <c r="F118" s="8">
        <v>5</v>
      </c>
      <c r="G118" s="66" t="s">
        <v>410</v>
      </c>
      <c r="H118" s="5" t="s">
        <v>289</v>
      </c>
      <c r="I118" s="28" t="s">
        <v>3</v>
      </c>
      <c r="J118" s="28" t="s">
        <v>1006</v>
      </c>
      <c r="K118" s="310" t="s">
        <v>1024</v>
      </c>
      <c r="L118" s="355" t="s">
        <v>826</v>
      </c>
      <c r="M118" s="43">
        <v>0</v>
      </c>
      <c r="N118" s="43">
        <v>0</v>
      </c>
      <c r="O118" s="43">
        <v>0</v>
      </c>
      <c r="P118" s="78">
        <f t="shared" si="7"/>
        <v>0</v>
      </c>
      <c r="Q118" s="78">
        <f t="shared" si="8"/>
        <v>0</v>
      </c>
      <c r="R118" s="78"/>
      <c r="S118" s="78"/>
      <c r="T118" s="78"/>
      <c r="U118" s="78"/>
      <c r="V118" s="78"/>
      <c r="W118" s="78"/>
    </row>
    <row r="119" spans="1:23" ht="52.5" customHeight="1">
      <c r="A119" s="12">
        <v>112</v>
      </c>
      <c r="B119" s="10" t="s">
        <v>36</v>
      </c>
      <c r="C119" s="14" t="s">
        <v>903</v>
      </c>
      <c r="D119" s="6">
        <v>2</v>
      </c>
      <c r="E119" s="8" t="s">
        <v>4</v>
      </c>
      <c r="F119" s="8">
        <v>5</v>
      </c>
      <c r="G119" s="66" t="s">
        <v>410</v>
      </c>
      <c r="H119" s="5" t="s">
        <v>288</v>
      </c>
      <c r="I119" s="28" t="s">
        <v>3</v>
      </c>
      <c r="J119" s="28" t="s">
        <v>1007</v>
      </c>
      <c r="K119" s="310" t="s">
        <v>1024</v>
      </c>
      <c r="L119" s="354" t="s">
        <v>828</v>
      </c>
      <c r="M119" s="224">
        <f>'Dados Detalhados'!$L$1138</f>
        <v>4411.3900000000003</v>
      </c>
      <c r="N119" s="224">
        <f>'Dados Detalhados'!$L$1138</f>
        <v>4411.3900000000003</v>
      </c>
      <c r="O119" s="43">
        <v>0</v>
      </c>
      <c r="P119" s="78">
        <f t="shared" si="7"/>
        <v>8822.7800000000007</v>
      </c>
      <c r="Q119" s="78">
        <f t="shared" si="8"/>
        <v>8822.7800000000007</v>
      </c>
      <c r="R119" s="78"/>
      <c r="S119" s="78"/>
      <c r="T119" s="78"/>
      <c r="U119" s="78"/>
      <c r="V119" s="78"/>
      <c r="W119" s="78"/>
    </row>
    <row r="120" spans="1:23" ht="52.5" customHeight="1">
      <c r="A120" s="12">
        <v>113</v>
      </c>
      <c r="B120" s="10" t="s">
        <v>33</v>
      </c>
      <c r="C120" s="14" t="s">
        <v>32</v>
      </c>
      <c r="D120" s="6">
        <v>1</v>
      </c>
      <c r="E120" s="8" t="s">
        <v>4</v>
      </c>
      <c r="F120" s="8">
        <v>5</v>
      </c>
      <c r="G120" s="66" t="s">
        <v>407</v>
      </c>
      <c r="H120" s="9" t="s">
        <v>288</v>
      </c>
      <c r="I120" s="28" t="s">
        <v>3</v>
      </c>
      <c r="J120" s="28" t="s">
        <v>1006</v>
      </c>
      <c r="K120" s="310" t="s">
        <v>1024</v>
      </c>
      <c r="L120" s="354" t="s">
        <v>830</v>
      </c>
      <c r="M120" s="226">
        <f>'Dados Detalhados'!$L$1154</f>
        <v>38152</v>
      </c>
      <c r="N120" s="43">
        <v>0</v>
      </c>
      <c r="O120" s="43">
        <v>0</v>
      </c>
      <c r="P120" s="78">
        <f t="shared" si="7"/>
        <v>38152</v>
      </c>
      <c r="Q120" s="78">
        <f>+M120/2</f>
        <v>19076</v>
      </c>
      <c r="R120" s="78">
        <f>+M120/2</f>
        <v>19076</v>
      </c>
      <c r="S120" s="78"/>
      <c r="T120" s="78"/>
      <c r="U120" s="78"/>
      <c r="V120" s="78"/>
      <c r="W120" s="78"/>
    </row>
    <row r="121" spans="1:23" ht="52.5" customHeight="1">
      <c r="A121" s="12">
        <v>114</v>
      </c>
      <c r="B121" s="10" t="s">
        <v>31</v>
      </c>
      <c r="C121" s="14" t="s">
        <v>30</v>
      </c>
      <c r="D121" s="6">
        <v>1</v>
      </c>
      <c r="E121" s="8" t="s">
        <v>4</v>
      </c>
      <c r="F121" s="8">
        <v>5</v>
      </c>
      <c r="G121" s="66" t="s">
        <v>407</v>
      </c>
      <c r="H121" s="5" t="s">
        <v>287</v>
      </c>
      <c r="I121" s="28" t="s">
        <v>3</v>
      </c>
      <c r="J121" s="28" t="s">
        <v>1006</v>
      </c>
      <c r="K121" s="310" t="s">
        <v>1019</v>
      </c>
      <c r="L121" s="354" t="s">
        <v>832</v>
      </c>
      <c r="M121" s="42">
        <f>'Dados Detalhados'!$L$1162</f>
        <v>563554.69999999995</v>
      </c>
      <c r="N121" s="43">
        <v>0</v>
      </c>
      <c r="O121" s="43">
        <v>0</v>
      </c>
      <c r="P121" s="78">
        <f t="shared" si="7"/>
        <v>563554.69999999995</v>
      </c>
      <c r="Q121" s="78"/>
      <c r="R121" s="78">
        <f t="shared" si="12"/>
        <v>563554.69999999995</v>
      </c>
      <c r="S121" s="78"/>
      <c r="T121" s="78"/>
      <c r="U121" s="78"/>
      <c r="V121" s="78"/>
      <c r="W121" s="78"/>
    </row>
    <row r="122" spans="1:23" ht="52.5" customHeight="1">
      <c r="A122" s="12">
        <v>115</v>
      </c>
      <c r="B122" s="10" t="s">
        <v>29</v>
      </c>
      <c r="C122" s="59" t="s">
        <v>28</v>
      </c>
      <c r="D122" s="58">
        <v>1</v>
      </c>
      <c r="E122" s="57" t="s">
        <v>4</v>
      </c>
      <c r="F122" s="8">
        <v>5</v>
      </c>
      <c r="G122" s="66" t="s">
        <v>407</v>
      </c>
      <c r="H122" s="5" t="s">
        <v>286</v>
      </c>
      <c r="I122" s="28" t="s">
        <v>3</v>
      </c>
      <c r="J122" s="28" t="s">
        <v>1008</v>
      </c>
      <c r="K122" s="28" t="s">
        <v>1018</v>
      </c>
      <c r="L122" s="354" t="s">
        <v>833</v>
      </c>
      <c r="M122" s="234">
        <f>'Dados Detalhados'!$L$1168</f>
        <v>35499.599999999999</v>
      </c>
      <c r="N122" s="234">
        <f>'Dados Detalhados'!$L$1169</f>
        <v>21897</v>
      </c>
      <c r="O122" s="234">
        <f>'Dados Detalhados'!$L$1170</f>
        <v>22942</v>
      </c>
      <c r="P122" s="78">
        <f t="shared" si="7"/>
        <v>80338.600000000006</v>
      </c>
      <c r="Q122" s="78">
        <f t="shared" si="8"/>
        <v>80338.600000000006</v>
      </c>
      <c r="R122" s="78"/>
      <c r="S122" s="78"/>
      <c r="T122" s="78"/>
      <c r="U122" s="78"/>
      <c r="V122" s="78"/>
      <c r="W122" s="78"/>
    </row>
    <row r="123" spans="1:23" ht="52.5" customHeight="1">
      <c r="A123" s="12">
        <v>116</v>
      </c>
      <c r="B123" s="11" t="s">
        <v>27</v>
      </c>
      <c r="C123" s="11" t="s">
        <v>26</v>
      </c>
      <c r="D123" s="6">
        <v>1</v>
      </c>
      <c r="E123" s="8" t="s">
        <v>4</v>
      </c>
      <c r="F123" s="8">
        <v>5</v>
      </c>
      <c r="G123" s="66" t="s">
        <v>407</v>
      </c>
      <c r="H123" s="5" t="s">
        <v>286</v>
      </c>
      <c r="I123" s="28" t="s">
        <v>3</v>
      </c>
      <c r="J123" s="28" t="s">
        <v>1008</v>
      </c>
      <c r="K123" s="28" t="s">
        <v>1018</v>
      </c>
      <c r="L123" s="354" t="s">
        <v>834</v>
      </c>
      <c r="M123" s="235">
        <f>'Dados Detalhados'!$L$1174</f>
        <v>12480</v>
      </c>
      <c r="N123" s="235">
        <f>'Dados Detalhados'!$L$1175</f>
        <v>14400</v>
      </c>
      <c r="O123" s="234">
        <f>'Dados Detalhados'!$L$1176</f>
        <v>19680</v>
      </c>
      <c r="P123" s="78">
        <f t="shared" si="7"/>
        <v>46560</v>
      </c>
      <c r="Q123" s="78">
        <f>+O123</f>
        <v>19680</v>
      </c>
      <c r="R123" s="78">
        <f>SUM(M123:N123)</f>
        <v>26880</v>
      </c>
      <c r="S123" s="78"/>
      <c r="T123" s="78"/>
      <c r="U123" s="78"/>
      <c r="V123" s="78"/>
      <c r="W123" s="78"/>
    </row>
    <row r="124" spans="1:23" ht="52.5" customHeight="1">
      <c r="A124" s="12">
        <v>117</v>
      </c>
      <c r="B124" s="11" t="s">
        <v>25</v>
      </c>
      <c r="C124" s="11" t="s">
        <v>24</v>
      </c>
      <c r="D124" s="6">
        <v>1</v>
      </c>
      <c r="E124" s="8" t="s">
        <v>4</v>
      </c>
      <c r="F124" s="8">
        <v>5</v>
      </c>
      <c r="G124" s="66" t="s">
        <v>407</v>
      </c>
      <c r="H124" s="5" t="s">
        <v>285</v>
      </c>
      <c r="I124" s="28" t="s">
        <v>3</v>
      </c>
      <c r="J124" s="28" t="s">
        <v>1006</v>
      </c>
      <c r="K124" s="28" t="s">
        <v>1019</v>
      </c>
      <c r="L124" s="354" t="s">
        <v>835</v>
      </c>
      <c r="M124" s="224">
        <f>'Dados Detalhados'!$L$1177</f>
        <v>1003.33</v>
      </c>
      <c r="N124" s="224">
        <f>'Dados Detalhados'!$L$1177</f>
        <v>1003.33</v>
      </c>
      <c r="O124" s="224">
        <f>'Dados Detalhados'!$L$1177</f>
        <v>1003.33</v>
      </c>
      <c r="P124" s="78">
        <f t="shared" si="7"/>
        <v>3009.9900000000002</v>
      </c>
      <c r="Q124" s="78">
        <f t="shared" si="8"/>
        <v>3009.9900000000002</v>
      </c>
      <c r="R124" s="78"/>
      <c r="S124" s="78"/>
      <c r="T124" s="78"/>
      <c r="U124" s="78"/>
      <c r="V124" s="78"/>
      <c r="W124" s="78"/>
    </row>
    <row r="125" spans="1:23" ht="52.5" customHeight="1">
      <c r="A125" s="12">
        <v>118</v>
      </c>
      <c r="B125" s="1" t="s">
        <v>23</v>
      </c>
      <c r="C125" s="1" t="s">
        <v>22</v>
      </c>
      <c r="D125" s="6">
        <v>2</v>
      </c>
      <c r="E125" s="8" t="s">
        <v>4</v>
      </c>
      <c r="F125" s="8">
        <v>5</v>
      </c>
      <c r="G125" s="66" t="s">
        <v>410</v>
      </c>
      <c r="H125" s="7" t="s">
        <v>284</v>
      </c>
      <c r="I125" s="28" t="s">
        <v>3</v>
      </c>
      <c r="J125" s="28" t="s">
        <v>1006</v>
      </c>
      <c r="K125" s="310" t="s">
        <v>1024</v>
      </c>
      <c r="L125" s="354" t="s">
        <v>853</v>
      </c>
      <c r="M125" s="42">
        <f>'Dados Detalhados'!$L$1179</f>
        <v>0</v>
      </c>
      <c r="N125" s="42">
        <f>'Dados Detalhados'!$L$1179</f>
        <v>0</v>
      </c>
      <c r="O125" s="42">
        <f>'Dados Detalhados'!$L$1179</f>
        <v>0</v>
      </c>
      <c r="P125" s="78">
        <f t="shared" si="7"/>
        <v>0</v>
      </c>
      <c r="Q125" s="78">
        <f t="shared" si="8"/>
        <v>0</v>
      </c>
      <c r="R125" s="78">
        <f t="shared" si="12"/>
        <v>0</v>
      </c>
      <c r="S125" s="78">
        <f t="shared" si="13"/>
        <v>0</v>
      </c>
      <c r="T125" s="78">
        <f t="shared" si="10"/>
        <v>0</v>
      </c>
      <c r="U125" s="78">
        <f t="shared" si="11"/>
        <v>0</v>
      </c>
      <c r="V125" s="78"/>
      <c r="W125" s="78">
        <f t="shared" si="9"/>
        <v>0</v>
      </c>
    </row>
    <row r="126" spans="1:23" ht="52.5" customHeight="1">
      <c r="A126" s="12">
        <v>119</v>
      </c>
      <c r="B126" s="11" t="s">
        <v>21</v>
      </c>
      <c r="C126" s="11" t="s">
        <v>20</v>
      </c>
      <c r="D126" s="6">
        <v>1</v>
      </c>
      <c r="E126" s="8" t="s">
        <v>4</v>
      </c>
      <c r="F126" s="8">
        <v>5</v>
      </c>
      <c r="G126" s="66" t="s">
        <v>402</v>
      </c>
      <c r="H126" s="5" t="s">
        <v>283</v>
      </c>
      <c r="I126" s="28" t="s">
        <v>3</v>
      </c>
      <c r="J126" s="28" t="s">
        <v>1008</v>
      </c>
      <c r="K126" s="310" t="s">
        <v>1024</v>
      </c>
      <c r="L126" s="354" t="s">
        <v>836</v>
      </c>
      <c r="M126" s="224">
        <f>'Dados Detalhados'!$L$1185</f>
        <v>19345</v>
      </c>
      <c r="N126" s="224">
        <f>'Dados Detalhados'!$L$1186</f>
        <v>19674</v>
      </c>
      <c r="O126" s="224">
        <f>'Dados Detalhados'!$L$1187</f>
        <v>35363</v>
      </c>
      <c r="P126" s="78">
        <f t="shared" si="7"/>
        <v>74382</v>
      </c>
      <c r="Q126" s="78">
        <f t="shared" si="8"/>
        <v>74382</v>
      </c>
      <c r="R126" s="78"/>
      <c r="S126" s="78"/>
      <c r="T126" s="78"/>
      <c r="U126" s="78"/>
      <c r="V126" s="78"/>
      <c r="W126" s="78"/>
    </row>
    <row r="127" spans="1:23" ht="52.5" customHeight="1">
      <c r="A127" s="12"/>
      <c r="B127" s="11" t="s">
        <v>854</v>
      </c>
      <c r="C127" s="11" t="s">
        <v>855</v>
      </c>
      <c r="D127" s="6">
        <v>1</v>
      </c>
      <c r="E127" s="8" t="s">
        <v>4</v>
      </c>
      <c r="F127" s="8">
        <v>5</v>
      </c>
      <c r="G127" s="66" t="s">
        <v>402</v>
      </c>
      <c r="H127" s="5"/>
      <c r="I127" s="28"/>
      <c r="J127" s="28" t="s">
        <v>1006</v>
      </c>
      <c r="K127" s="310" t="s">
        <v>1024</v>
      </c>
      <c r="L127" s="354" t="s">
        <v>841</v>
      </c>
      <c r="M127" s="48">
        <f>'Dados Detalhados'!$L$1188</f>
        <v>238.1</v>
      </c>
      <c r="N127" s="48">
        <f>'Dados Detalhados'!$L$1188</f>
        <v>238.1</v>
      </c>
      <c r="O127" s="48">
        <f>'Dados Detalhados'!$L$1188</f>
        <v>238.1</v>
      </c>
      <c r="P127" s="78">
        <f t="shared" si="7"/>
        <v>714.3</v>
      </c>
      <c r="Q127" s="78"/>
      <c r="R127" s="78"/>
      <c r="S127" s="78"/>
      <c r="T127" s="78"/>
      <c r="U127" s="78">
        <f t="shared" si="11"/>
        <v>714.3</v>
      </c>
      <c r="V127" s="78"/>
      <c r="W127" s="78"/>
    </row>
    <row r="128" spans="1:23" ht="52.5" customHeight="1">
      <c r="A128" s="12">
        <v>120</v>
      </c>
      <c r="B128" s="11" t="s">
        <v>19</v>
      </c>
      <c r="C128" s="11" t="s">
        <v>18</v>
      </c>
      <c r="D128" s="6">
        <v>2</v>
      </c>
      <c r="E128" s="8" t="s">
        <v>4</v>
      </c>
      <c r="F128" s="8">
        <v>5</v>
      </c>
      <c r="G128" s="66" t="s">
        <v>402</v>
      </c>
      <c r="H128" s="5" t="s">
        <v>281</v>
      </c>
      <c r="I128" s="28" t="s">
        <v>3</v>
      </c>
      <c r="J128" s="28" t="s">
        <v>1006</v>
      </c>
      <c r="K128" s="28" t="s">
        <v>1022</v>
      </c>
      <c r="L128" s="356" t="s">
        <v>838</v>
      </c>
      <c r="M128" s="224">
        <f>'Dados Detalhados'!$L$1193</f>
        <v>9523.81</v>
      </c>
      <c r="N128" s="224">
        <f>'Dados Detalhados'!$L$1193</f>
        <v>9523.81</v>
      </c>
      <c r="O128" s="224">
        <f>'Dados Detalhados'!$L$1193</f>
        <v>9523.81</v>
      </c>
      <c r="P128" s="78">
        <f t="shared" si="7"/>
        <v>28571.43</v>
      </c>
      <c r="Q128" s="78">
        <f t="shared" si="8"/>
        <v>28571.43</v>
      </c>
      <c r="R128" s="78"/>
      <c r="S128" s="78"/>
      <c r="T128" s="78"/>
      <c r="U128" s="78"/>
      <c r="V128" s="78"/>
      <c r="W128" s="78"/>
    </row>
    <row r="129" spans="1:23" ht="52.5" customHeight="1">
      <c r="A129" s="12">
        <v>121</v>
      </c>
      <c r="B129" s="11" t="s">
        <v>17</v>
      </c>
      <c r="C129" s="11" t="s">
        <v>16</v>
      </c>
      <c r="D129" s="6">
        <v>1</v>
      </c>
      <c r="E129" s="8" t="s">
        <v>4</v>
      </c>
      <c r="F129" s="8">
        <v>5</v>
      </c>
      <c r="G129" s="66" t="s">
        <v>410</v>
      </c>
      <c r="H129" s="5" t="s">
        <v>280</v>
      </c>
      <c r="I129" s="28" t="s">
        <v>3</v>
      </c>
      <c r="J129" s="28" t="s">
        <v>1006</v>
      </c>
      <c r="K129" s="310" t="s">
        <v>1024</v>
      </c>
      <c r="L129" s="354" t="s">
        <v>839</v>
      </c>
      <c r="M129" s="224">
        <f>'Dados Detalhados'!$L$1202</f>
        <v>1423.33</v>
      </c>
      <c r="N129" s="224">
        <f>'Dados Detalhados'!$L$1203</f>
        <v>1423.33</v>
      </c>
      <c r="O129" s="224">
        <f>'Dados Detalhados'!$L$1204</f>
        <v>1423.33</v>
      </c>
      <c r="P129" s="78">
        <f t="shared" si="7"/>
        <v>4269.99</v>
      </c>
      <c r="Q129" s="78">
        <f t="shared" si="8"/>
        <v>4269.99</v>
      </c>
      <c r="R129" s="78"/>
      <c r="S129" s="78"/>
      <c r="T129" s="78"/>
      <c r="U129" s="78"/>
      <c r="V129" s="78"/>
      <c r="W129" s="78"/>
    </row>
    <row r="130" spans="1:23" ht="52.5" customHeight="1">
      <c r="A130" s="12">
        <v>122</v>
      </c>
      <c r="B130" s="11" t="s">
        <v>15</v>
      </c>
      <c r="C130" s="11" t="s">
        <v>14</v>
      </c>
      <c r="D130" s="6">
        <v>1</v>
      </c>
      <c r="E130" s="8" t="s">
        <v>389</v>
      </c>
      <c r="F130" s="8">
        <v>2</v>
      </c>
      <c r="G130" s="66" t="s">
        <v>410</v>
      </c>
      <c r="H130" s="5" t="s">
        <v>279</v>
      </c>
      <c r="I130" s="28" t="s">
        <v>3</v>
      </c>
      <c r="J130" s="28" t="s">
        <v>1006</v>
      </c>
      <c r="K130" s="28" t="s">
        <v>1016</v>
      </c>
      <c r="L130" s="354" t="s">
        <v>841</v>
      </c>
      <c r="M130" s="48">
        <f>'Dados Detalhados'!$L$1205</f>
        <v>747.33</v>
      </c>
      <c r="N130" s="48">
        <f>'Dados Detalhados'!$L$1205</f>
        <v>747.33</v>
      </c>
      <c r="O130" s="48">
        <f>'Dados Detalhados'!$L$1205</f>
        <v>747.33</v>
      </c>
      <c r="P130" s="78">
        <f t="shared" si="7"/>
        <v>2241.9900000000002</v>
      </c>
      <c r="Q130" s="78"/>
      <c r="R130" s="78"/>
      <c r="S130" s="78"/>
      <c r="T130" s="78"/>
      <c r="U130" s="78">
        <f t="shared" si="11"/>
        <v>2241.9900000000002</v>
      </c>
      <c r="V130" s="78"/>
      <c r="W130" s="78"/>
    </row>
    <row r="131" spans="1:23" ht="52.5" customHeight="1">
      <c r="A131" s="12">
        <v>123</v>
      </c>
      <c r="B131" s="11" t="s">
        <v>13</v>
      </c>
      <c r="C131" s="11" t="s">
        <v>12</v>
      </c>
      <c r="D131" s="6">
        <v>1</v>
      </c>
      <c r="E131" s="8" t="s">
        <v>4</v>
      </c>
      <c r="F131" s="8">
        <v>5</v>
      </c>
      <c r="G131" s="66" t="s">
        <v>407</v>
      </c>
      <c r="H131" s="9"/>
      <c r="I131" s="28" t="s">
        <v>3</v>
      </c>
      <c r="J131" s="28" t="s">
        <v>1006</v>
      </c>
      <c r="K131" s="28" t="s">
        <v>1017</v>
      </c>
      <c r="L131" s="354" t="s">
        <v>842</v>
      </c>
      <c r="M131" s="42">
        <f>'Dados Detalhados'!$L$1208</f>
        <v>0</v>
      </c>
      <c r="N131" s="42">
        <f>'Dados Detalhados'!$L$1208</f>
        <v>0</v>
      </c>
      <c r="O131" s="42">
        <f>'Dados Detalhados'!$L$1208</f>
        <v>0</v>
      </c>
      <c r="P131" s="78">
        <f t="shared" si="7"/>
        <v>0</v>
      </c>
      <c r="Q131" s="78">
        <f t="shared" si="8"/>
        <v>0</v>
      </c>
      <c r="R131" s="78">
        <f t="shared" si="12"/>
        <v>0</v>
      </c>
      <c r="S131" s="78">
        <f t="shared" si="13"/>
        <v>0</v>
      </c>
      <c r="T131" s="78">
        <f t="shared" si="10"/>
        <v>0</v>
      </c>
      <c r="U131" s="78">
        <f t="shared" si="11"/>
        <v>0</v>
      </c>
      <c r="V131" s="78"/>
      <c r="W131" s="78">
        <f t="shared" si="9"/>
        <v>0</v>
      </c>
    </row>
    <row r="132" spans="1:23" ht="52.5" customHeight="1">
      <c r="A132" s="12">
        <v>124</v>
      </c>
      <c r="B132" s="11" t="s">
        <v>11</v>
      </c>
      <c r="C132" s="11" t="s">
        <v>10</v>
      </c>
      <c r="D132" s="6">
        <v>2</v>
      </c>
      <c r="E132" s="8" t="s">
        <v>4</v>
      </c>
      <c r="F132" s="8">
        <v>5</v>
      </c>
      <c r="G132" s="66" t="s">
        <v>410</v>
      </c>
      <c r="H132" s="9"/>
      <c r="I132" s="28" t="s">
        <v>3</v>
      </c>
      <c r="J132" s="28" t="s">
        <v>1006</v>
      </c>
      <c r="K132" s="310" t="s">
        <v>1024</v>
      </c>
      <c r="L132" s="354" t="s">
        <v>811</v>
      </c>
      <c r="M132" s="42">
        <f>'Dados Detalhados'!$L$1210</f>
        <v>0</v>
      </c>
      <c r="N132" s="42">
        <f>'Dados Detalhados'!$L$1210</f>
        <v>0</v>
      </c>
      <c r="O132" s="42">
        <f>'Dados Detalhados'!$L$1210</f>
        <v>0</v>
      </c>
      <c r="P132" s="78">
        <f t="shared" si="7"/>
        <v>0</v>
      </c>
      <c r="Q132" s="78">
        <f t="shared" si="8"/>
        <v>0</v>
      </c>
      <c r="R132" s="78">
        <f t="shared" si="12"/>
        <v>0</v>
      </c>
      <c r="S132" s="78">
        <f t="shared" si="13"/>
        <v>0</v>
      </c>
      <c r="T132" s="78">
        <f t="shared" si="10"/>
        <v>0</v>
      </c>
      <c r="U132" s="78">
        <f t="shared" si="11"/>
        <v>0</v>
      </c>
      <c r="V132" s="78"/>
      <c r="W132" s="78">
        <f t="shared" si="9"/>
        <v>0</v>
      </c>
    </row>
    <row r="133" spans="1:23" ht="52.5" customHeight="1">
      <c r="A133" s="12">
        <v>125</v>
      </c>
      <c r="B133" s="11" t="s">
        <v>9</v>
      </c>
      <c r="C133" s="11" t="s">
        <v>8</v>
      </c>
      <c r="D133" s="6">
        <v>1</v>
      </c>
      <c r="E133" s="8" t="s">
        <v>4</v>
      </c>
      <c r="F133" s="8">
        <v>5</v>
      </c>
      <c r="G133" s="66" t="s">
        <v>402</v>
      </c>
      <c r="H133" s="9"/>
      <c r="I133" s="28" t="s">
        <v>3</v>
      </c>
      <c r="J133" s="28" t="s">
        <v>1008</v>
      </c>
      <c r="K133" s="28" t="s">
        <v>1019</v>
      </c>
      <c r="L133" s="354" t="s">
        <v>1090</v>
      </c>
      <c r="M133" s="224">
        <f>'Dados Detalhados'!$L$1215</f>
        <v>30000</v>
      </c>
      <c r="N133" s="42">
        <f>'Dados Detalhados'!$L$1216</f>
        <v>0</v>
      </c>
      <c r="O133" s="42">
        <f>'Dados Detalhados'!$L$1217</f>
        <v>0</v>
      </c>
      <c r="P133" s="78">
        <f t="shared" si="7"/>
        <v>30000</v>
      </c>
      <c r="Q133" s="78">
        <f t="shared" si="8"/>
        <v>30000</v>
      </c>
      <c r="R133" s="78"/>
      <c r="S133" s="78"/>
      <c r="T133" s="78"/>
      <c r="U133" s="78"/>
      <c r="V133" s="78"/>
      <c r="W133" s="78"/>
    </row>
    <row r="134" spans="1:23" ht="61.5" customHeight="1">
      <c r="A134" s="12">
        <v>126</v>
      </c>
      <c r="B134" s="11" t="s">
        <v>7</v>
      </c>
      <c r="C134" s="11" t="s">
        <v>364</v>
      </c>
      <c r="D134" s="6">
        <v>1</v>
      </c>
      <c r="E134" s="8" t="s">
        <v>4</v>
      </c>
      <c r="F134" s="8">
        <v>5</v>
      </c>
      <c r="G134" s="66" t="s">
        <v>402</v>
      </c>
      <c r="H134" s="9"/>
      <c r="I134" s="28" t="s">
        <v>3</v>
      </c>
      <c r="J134" s="28" t="s">
        <v>1013</v>
      </c>
      <c r="K134" s="310" t="s">
        <v>1024</v>
      </c>
      <c r="L134" s="354" t="s">
        <v>843</v>
      </c>
      <c r="M134" s="224">
        <f>'Dados Detalhados'!$L$1218</f>
        <v>11013.44</v>
      </c>
      <c r="N134" s="43">
        <v>0</v>
      </c>
      <c r="O134" s="43">
        <v>0</v>
      </c>
      <c r="P134" s="78">
        <f t="shared" ref="P134:P159" si="14">+M134+N134+O134</f>
        <v>11013.44</v>
      </c>
      <c r="Q134" s="78">
        <f t="shared" si="8"/>
        <v>11013.44</v>
      </c>
      <c r="R134" s="78"/>
      <c r="S134" s="78"/>
      <c r="T134" s="78"/>
      <c r="U134" s="78"/>
      <c r="V134" s="78"/>
      <c r="W134" s="78"/>
    </row>
    <row r="135" spans="1:23" ht="52.5" customHeight="1">
      <c r="A135" s="12">
        <v>127</v>
      </c>
      <c r="B135" s="11" t="s">
        <v>6</v>
      </c>
      <c r="C135" s="52" t="s">
        <v>386</v>
      </c>
      <c r="D135" s="6">
        <v>1</v>
      </c>
      <c r="E135" s="33" t="s">
        <v>4</v>
      </c>
      <c r="F135" s="8">
        <v>5</v>
      </c>
      <c r="G135" s="66" t="s">
        <v>410</v>
      </c>
      <c r="H135" s="55"/>
      <c r="I135" s="50" t="s">
        <v>3</v>
      </c>
      <c r="J135" s="50" t="s">
        <v>1006</v>
      </c>
      <c r="K135" s="310" t="s">
        <v>1024</v>
      </c>
      <c r="L135" s="354" t="s">
        <v>844</v>
      </c>
      <c r="M135" s="236">
        <f>'Dados Detalhados'!$L$1234</f>
        <v>152.30000000000001</v>
      </c>
      <c r="N135" s="236">
        <f>'Dados Detalhados'!$L$1234</f>
        <v>152.30000000000001</v>
      </c>
      <c r="O135" s="236">
        <f>'Dados Detalhados'!$L$1234</f>
        <v>152.30000000000001</v>
      </c>
      <c r="P135" s="78">
        <f t="shared" si="14"/>
        <v>456.90000000000003</v>
      </c>
      <c r="Q135" s="78"/>
      <c r="R135" s="78"/>
      <c r="S135" s="78"/>
      <c r="T135" s="78"/>
      <c r="U135" s="78">
        <f t="shared" ref="U135:U151" si="15">+P135</f>
        <v>456.90000000000003</v>
      </c>
      <c r="V135" s="78"/>
      <c r="W135" s="78"/>
    </row>
    <row r="136" spans="1:23" ht="52.5" customHeight="1">
      <c r="A136" s="12">
        <v>128</v>
      </c>
      <c r="B136" s="11" t="s">
        <v>5</v>
      </c>
      <c r="C136" s="52" t="s">
        <v>373</v>
      </c>
      <c r="D136" s="56">
        <v>1</v>
      </c>
      <c r="E136" s="33" t="s">
        <v>4</v>
      </c>
      <c r="F136" s="8">
        <v>5</v>
      </c>
      <c r="G136" s="66" t="s">
        <v>410</v>
      </c>
      <c r="H136" s="55"/>
      <c r="I136" s="50" t="s">
        <v>3</v>
      </c>
      <c r="J136" s="50" t="s">
        <v>1006</v>
      </c>
      <c r="K136" s="310" t="s">
        <v>1024</v>
      </c>
      <c r="L136" s="354" t="s">
        <v>1091</v>
      </c>
      <c r="M136" s="237">
        <f>'Dados Detalhados'!$L$1239</f>
        <v>22152</v>
      </c>
      <c r="N136" s="69">
        <f>'Dados Detalhados'!$L$1240</f>
        <v>0</v>
      </c>
      <c r="O136" s="69">
        <f>'Dados Detalhados'!$L$1241</f>
        <v>0</v>
      </c>
      <c r="P136" s="78">
        <f t="shared" si="14"/>
        <v>22152</v>
      </c>
      <c r="Q136" s="78">
        <f t="shared" ref="Q136:Q157" si="16">+P136</f>
        <v>22152</v>
      </c>
      <c r="R136" s="78"/>
      <c r="S136" s="78"/>
      <c r="T136" s="78"/>
      <c r="U136" s="78"/>
      <c r="V136" s="78"/>
      <c r="W136" s="78"/>
    </row>
    <row r="137" spans="1:23" ht="52.5" customHeight="1">
      <c r="A137" s="12">
        <v>129</v>
      </c>
      <c r="B137" s="11" t="s">
        <v>341</v>
      </c>
      <c r="C137" s="52" t="s">
        <v>374</v>
      </c>
      <c r="D137" s="56">
        <v>2</v>
      </c>
      <c r="E137" s="33" t="s">
        <v>4</v>
      </c>
      <c r="F137" s="8">
        <v>5</v>
      </c>
      <c r="G137" s="66" t="s">
        <v>407</v>
      </c>
      <c r="H137" s="55"/>
      <c r="I137" s="50" t="s">
        <v>3</v>
      </c>
      <c r="J137" s="50" t="s">
        <v>1007</v>
      </c>
      <c r="K137" s="310" t="s">
        <v>1024</v>
      </c>
      <c r="L137" s="354" t="s">
        <v>1092</v>
      </c>
      <c r="M137" s="69">
        <f>'Dados Detalhados'!$L$1249</f>
        <v>0</v>
      </c>
      <c r="N137" s="69">
        <f>'Dados Detalhados'!$L$1250</f>
        <v>0</v>
      </c>
      <c r="O137" s="69">
        <f>'Dados Detalhados'!$L$1251</f>
        <v>0</v>
      </c>
      <c r="P137" s="78">
        <f t="shared" si="14"/>
        <v>0</v>
      </c>
      <c r="Q137" s="78"/>
      <c r="R137" s="78"/>
      <c r="S137" s="78"/>
      <c r="T137" s="78"/>
      <c r="U137" s="78"/>
      <c r="V137" s="78"/>
      <c r="W137" s="78">
        <f t="shared" si="9"/>
        <v>0</v>
      </c>
    </row>
    <row r="138" spans="1:23" ht="52.5" customHeight="1">
      <c r="A138" s="12">
        <v>130</v>
      </c>
      <c r="B138" s="11" t="s">
        <v>342</v>
      </c>
      <c r="C138" s="52" t="s">
        <v>375</v>
      </c>
      <c r="D138" s="56">
        <v>1</v>
      </c>
      <c r="E138" s="33" t="s">
        <v>4</v>
      </c>
      <c r="F138" s="8">
        <v>5</v>
      </c>
      <c r="G138" s="66" t="s">
        <v>407</v>
      </c>
      <c r="H138" s="55"/>
      <c r="I138" s="50" t="s">
        <v>3</v>
      </c>
      <c r="J138" s="50" t="s">
        <v>1006</v>
      </c>
      <c r="K138" s="310" t="s">
        <v>1024</v>
      </c>
      <c r="L138" s="357" t="s">
        <v>1093</v>
      </c>
      <c r="M138" s="236">
        <f>'Dados Detalhados'!$L$1270</f>
        <v>750</v>
      </c>
      <c r="N138" s="236">
        <f>'Dados Detalhados'!$L$1271</f>
        <v>750</v>
      </c>
      <c r="O138" s="236">
        <f>'Dados Detalhados'!$L$1272</f>
        <v>750</v>
      </c>
      <c r="P138" s="78">
        <f t="shared" si="14"/>
        <v>2250</v>
      </c>
      <c r="Q138" s="78"/>
      <c r="R138" s="78"/>
      <c r="S138" s="78"/>
      <c r="T138" s="78"/>
      <c r="U138" s="78">
        <f t="shared" si="15"/>
        <v>2250</v>
      </c>
      <c r="V138" s="78"/>
      <c r="W138" s="78"/>
    </row>
    <row r="139" spans="1:23" ht="52.5" customHeight="1">
      <c r="A139" s="12">
        <v>131</v>
      </c>
      <c r="B139" s="11" t="s">
        <v>343</v>
      </c>
      <c r="C139" s="52" t="s">
        <v>376</v>
      </c>
      <c r="D139" s="56">
        <v>1</v>
      </c>
      <c r="E139" s="33" t="s">
        <v>4</v>
      </c>
      <c r="F139" s="8">
        <v>5</v>
      </c>
      <c r="G139" s="66" t="s">
        <v>402</v>
      </c>
      <c r="H139" s="55"/>
      <c r="I139" s="50" t="s">
        <v>3</v>
      </c>
      <c r="J139" s="50" t="s">
        <v>1006</v>
      </c>
      <c r="K139" s="310" t="s">
        <v>1024</v>
      </c>
      <c r="L139" s="357"/>
      <c r="M139" s="69">
        <f>'Dados Detalhados'!$L$1276</f>
        <v>0</v>
      </c>
      <c r="N139" s="69">
        <f>'Dados Detalhados'!$L$1277</f>
        <v>0</v>
      </c>
      <c r="O139" s="69">
        <f>'Dados Detalhados'!$L$1278</f>
        <v>0</v>
      </c>
      <c r="P139" s="78">
        <f t="shared" si="14"/>
        <v>0</v>
      </c>
      <c r="Q139" s="78">
        <f t="shared" si="16"/>
        <v>0</v>
      </c>
      <c r="R139" s="78">
        <f t="shared" ref="R139:R151" si="17">+P139</f>
        <v>0</v>
      </c>
      <c r="S139" s="78">
        <f t="shared" ref="S139:S159" si="18">+P139</f>
        <v>0</v>
      </c>
      <c r="T139" s="78">
        <f t="shared" ref="T139:T151" si="19">+P139</f>
        <v>0</v>
      </c>
      <c r="U139" s="78">
        <f t="shared" si="15"/>
        <v>0</v>
      </c>
      <c r="V139" s="78"/>
      <c r="W139" s="78">
        <f t="shared" si="9"/>
        <v>0</v>
      </c>
    </row>
    <row r="140" spans="1:23" ht="52.5" customHeight="1">
      <c r="A140" s="12">
        <v>132</v>
      </c>
      <c r="B140" s="11" t="s">
        <v>344</v>
      </c>
      <c r="C140" s="52" t="s">
        <v>385</v>
      </c>
      <c r="D140" s="56">
        <v>1</v>
      </c>
      <c r="E140" s="33" t="s">
        <v>4</v>
      </c>
      <c r="F140" s="8">
        <v>5</v>
      </c>
      <c r="G140" s="66" t="s">
        <v>402</v>
      </c>
      <c r="H140" s="55"/>
      <c r="I140" s="50" t="s">
        <v>3</v>
      </c>
      <c r="J140" s="50" t="s">
        <v>1006</v>
      </c>
      <c r="K140" s="310" t="s">
        <v>1024</v>
      </c>
      <c r="L140" s="357" t="s">
        <v>1105</v>
      </c>
      <c r="M140" s="237">
        <f>'Dados Detalhados'!$L$1282</f>
        <v>6103.6111111111113</v>
      </c>
      <c r="N140" s="237">
        <f>'Dados Detalhados'!$L$1283</f>
        <v>6103.6111111111113</v>
      </c>
      <c r="O140" s="237">
        <f>'Dados Detalhados'!$L$1284</f>
        <v>6103.6111111111113</v>
      </c>
      <c r="P140" s="78">
        <f t="shared" si="14"/>
        <v>18310.833333333336</v>
      </c>
      <c r="Q140" s="78">
        <f t="shared" si="16"/>
        <v>18310.833333333336</v>
      </c>
      <c r="R140" s="78"/>
      <c r="S140" s="78"/>
      <c r="T140" s="78"/>
      <c r="U140" s="78"/>
      <c r="V140" s="78"/>
      <c r="W140" s="78"/>
    </row>
    <row r="141" spans="1:23" ht="52.5" customHeight="1">
      <c r="A141" s="12">
        <v>133</v>
      </c>
      <c r="B141" s="11" t="s">
        <v>345</v>
      </c>
      <c r="C141" s="52" t="s">
        <v>377</v>
      </c>
      <c r="D141" s="56">
        <v>1</v>
      </c>
      <c r="E141" s="33" t="s">
        <v>4</v>
      </c>
      <c r="F141" s="8">
        <v>5</v>
      </c>
      <c r="G141" s="66" t="s">
        <v>402</v>
      </c>
      <c r="H141" s="55"/>
      <c r="I141" s="50" t="s">
        <v>3</v>
      </c>
      <c r="J141" s="50" t="s">
        <v>1006</v>
      </c>
      <c r="K141" s="310" t="s">
        <v>1024</v>
      </c>
      <c r="L141" s="357"/>
      <c r="M141" s="69">
        <f>'Dados Detalhados'!$L$1289</f>
        <v>0</v>
      </c>
      <c r="N141" s="69">
        <f>'Dados Detalhados'!$L$1290</f>
        <v>0</v>
      </c>
      <c r="O141" s="69">
        <f>'Dados Detalhados'!$L$1291</f>
        <v>0</v>
      </c>
      <c r="P141" s="78">
        <f t="shared" si="14"/>
        <v>0</v>
      </c>
      <c r="Q141" s="78">
        <f t="shared" si="16"/>
        <v>0</v>
      </c>
      <c r="R141" s="78">
        <f t="shared" si="17"/>
        <v>0</v>
      </c>
      <c r="S141" s="78">
        <f t="shared" si="18"/>
        <v>0</v>
      </c>
      <c r="T141" s="78">
        <f t="shared" si="19"/>
        <v>0</v>
      </c>
      <c r="U141" s="78">
        <f t="shared" si="15"/>
        <v>0</v>
      </c>
      <c r="V141" s="78"/>
      <c r="W141" s="78">
        <f t="shared" ref="W141:W158" si="20">+P141</f>
        <v>0</v>
      </c>
    </row>
    <row r="142" spans="1:23" ht="52.5" customHeight="1">
      <c r="A142" s="12">
        <v>134</v>
      </c>
      <c r="B142" s="11" t="s">
        <v>346</v>
      </c>
      <c r="C142" s="52" t="s">
        <v>378</v>
      </c>
      <c r="D142" s="56">
        <v>1</v>
      </c>
      <c r="E142" s="33" t="s">
        <v>4</v>
      </c>
      <c r="F142" s="8">
        <v>5</v>
      </c>
      <c r="G142" s="66" t="s">
        <v>402</v>
      </c>
      <c r="H142" s="55"/>
      <c r="I142" s="50" t="s">
        <v>3</v>
      </c>
      <c r="J142" s="50" t="s">
        <v>1006</v>
      </c>
      <c r="K142" s="310" t="s">
        <v>1024</v>
      </c>
      <c r="L142" s="357"/>
      <c r="M142" s="236">
        <f>'Dados Detalhados'!$L$1295</f>
        <v>266.66666666666669</v>
      </c>
      <c r="N142" s="236">
        <f>'Dados Detalhados'!$L$1296</f>
        <v>277.77777777777777</v>
      </c>
      <c r="O142" s="236">
        <f>'Dados Detalhados'!$L$1297</f>
        <v>319.44444444444446</v>
      </c>
      <c r="P142" s="78">
        <f t="shared" si="14"/>
        <v>863.88888888888891</v>
      </c>
      <c r="Q142" s="78"/>
      <c r="R142" s="78"/>
      <c r="S142" s="78"/>
      <c r="T142" s="78"/>
      <c r="U142" s="78">
        <f t="shared" si="15"/>
        <v>863.88888888888891</v>
      </c>
      <c r="V142" s="78"/>
      <c r="W142" s="78"/>
    </row>
    <row r="143" spans="1:23" s="4" customFormat="1" ht="52.5" customHeight="1">
      <c r="A143" s="12">
        <v>135</v>
      </c>
      <c r="B143" s="11" t="s">
        <v>347</v>
      </c>
      <c r="C143" s="52" t="s">
        <v>379</v>
      </c>
      <c r="D143" s="56">
        <v>1</v>
      </c>
      <c r="E143" s="33" t="s">
        <v>4</v>
      </c>
      <c r="F143" s="8">
        <v>5</v>
      </c>
      <c r="G143" s="66" t="s">
        <v>402</v>
      </c>
      <c r="H143" s="55"/>
      <c r="I143" s="50" t="s">
        <v>3</v>
      </c>
      <c r="J143" s="50" t="s">
        <v>1006</v>
      </c>
      <c r="K143" s="310" t="s">
        <v>1024</v>
      </c>
      <c r="L143" s="357" t="s">
        <v>1095</v>
      </c>
      <c r="M143" s="236">
        <f>'Dados Detalhados'!$L$1307</f>
        <v>4608</v>
      </c>
      <c r="N143" s="236">
        <f>'Dados Detalhados'!$L$1308</f>
        <v>4608</v>
      </c>
      <c r="O143" s="236">
        <f>'Dados Detalhados'!$L$1309</f>
        <v>4608</v>
      </c>
      <c r="P143" s="78">
        <f t="shared" si="14"/>
        <v>13824</v>
      </c>
      <c r="Q143" s="78"/>
      <c r="R143" s="78"/>
      <c r="S143" s="78"/>
      <c r="T143" s="78"/>
      <c r="U143" s="78">
        <f t="shared" si="15"/>
        <v>13824</v>
      </c>
      <c r="V143" s="78"/>
      <c r="W143" s="78"/>
    </row>
    <row r="144" spans="1:23" s="4" customFormat="1" ht="61.5" customHeight="1">
      <c r="A144" s="12">
        <v>136</v>
      </c>
      <c r="B144" s="11" t="s">
        <v>348</v>
      </c>
      <c r="C144" s="52" t="s">
        <v>384</v>
      </c>
      <c r="D144" s="56">
        <v>1</v>
      </c>
      <c r="E144" s="33" t="s">
        <v>4</v>
      </c>
      <c r="F144" s="8">
        <v>5</v>
      </c>
      <c r="G144" s="66" t="s">
        <v>409</v>
      </c>
      <c r="H144" s="5" t="s">
        <v>282</v>
      </c>
      <c r="I144" s="50" t="s">
        <v>3</v>
      </c>
      <c r="J144" s="50" t="s">
        <v>1007</v>
      </c>
      <c r="K144" s="310" t="s">
        <v>1024</v>
      </c>
      <c r="L144" s="357" t="s">
        <v>1096</v>
      </c>
      <c r="M144" s="237">
        <f>'Dados Detalhados'!$L$1314</f>
        <v>2720.6</v>
      </c>
      <c r="N144" s="237">
        <f>'Dados Detalhados'!$L$1315</f>
        <v>2720.6</v>
      </c>
      <c r="O144" s="237">
        <f>'Dados Detalhados'!$L$1316</f>
        <v>2780.3</v>
      </c>
      <c r="P144" s="78">
        <f t="shared" si="14"/>
        <v>8221.5</v>
      </c>
      <c r="Q144" s="78">
        <f t="shared" si="16"/>
        <v>8221.5</v>
      </c>
      <c r="R144" s="78"/>
      <c r="S144" s="78"/>
      <c r="T144" s="78"/>
      <c r="U144" s="78"/>
      <c r="V144" s="78"/>
      <c r="W144" s="78"/>
    </row>
    <row r="145" spans="1:23" s="4" customFormat="1" ht="52.5" customHeight="1">
      <c r="A145" s="12">
        <v>137</v>
      </c>
      <c r="B145" s="11" t="s">
        <v>349</v>
      </c>
      <c r="C145" s="52" t="s">
        <v>380</v>
      </c>
      <c r="D145" s="56">
        <v>1</v>
      </c>
      <c r="E145" s="33" t="s">
        <v>4</v>
      </c>
      <c r="F145" s="8">
        <v>5</v>
      </c>
      <c r="G145" s="66" t="s">
        <v>402</v>
      </c>
      <c r="H145" s="55"/>
      <c r="I145" s="50" t="s">
        <v>3</v>
      </c>
      <c r="J145" s="50" t="s">
        <v>1006</v>
      </c>
      <c r="K145" s="310" t="s">
        <v>1024</v>
      </c>
      <c r="L145" s="52" t="s">
        <v>1120</v>
      </c>
      <c r="M145" s="237">
        <f>'Dados Detalhados'!$L$1320</f>
        <v>5584.7</v>
      </c>
      <c r="N145" s="237">
        <f>'Dados Detalhados'!$L$1321</f>
        <v>5584.7</v>
      </c>
      <c r="O145" s="237">
        <f>'Dados Detalhados'!$L$1322</f>
        <v>5584.7</v>
      </c>
      <c r="P145" s="78">
        <f t="shared" si="14"/>
        <v>16754.099999999999</v>
      </c>
      <c r="Q145" s="78">
        <f t="shared" si="16"/>
        <v>16754.099999999999</v>
      </c>
      <c r="R145" s="78"/>
      <c r="S145" s="78"/>
      <c r="T145" s="78"/>
      <c r="U145" s="78"/>
      <c r="V145" s="78"/>
      <c r="W145" s="78"/>
    </row>
    <row r="146" spans="1:23" s="4" customFormat="1" ht="52.5" customHeight="1">
      <c r="A146" s="12">
        <v>138</v>
      </c>
      <c r="B146" s="11" t="s">
        <v>350</v>
      </c>
      <c r="C146" s="52" t="s">
        <v>381</v>
      </c>
      <c r="D146" s="56">
        <v>1</v>
      </c>
      <c r="E146" s="8" t="s">
        <v>389</v>
      </c>
      <c r="F146" s="8">
        <v>2</v>
      </c>
      <c r="G146" s="66" t="s">
        <v>410</v>
      </c>
      <c r="H146" s="55"/>
      <c r="I146" s="50" t="s">
        <v>3</v>
      </c>
      <c r="J146" s="50" t="s">
        <v>1007</v>
      </c>
      <c r="K146" s="50" t="s">
        <v>1016</v>
      </c>
      <c r="L146" s="357" t="s">
        <v>1097</v>
      </c>
      <c r="M146" s="69">
        <f>'Dados Detalhados'!$L$1326</f>
        <v>0</v>
      </c>
      <c r="N146" s="69">
        <f>'Dados Detalhados'!$L$1327</f>
        <v>0</v>
      </c>
      <c r="O146" s="69">
        <f>'Dados Detalhados'!$L$1328</f>
        <v>0</v>
      </c>
      <c r="P146" s="78">
        <f t="shared" si="14"/>
        <v>0</v>
      </c>
      <c r="Q146" s="78"/>
      <c r="R146" s="78"/>
      <c r="S146" s="78"/>
      <c r="T146" s="78"/>
      <c r="U146" s="78"/>
      <c r="V146" s="78"/>
      <c r="W146" s="78">
        <f t="shared" si="20"/>
        <v>0</v>
      </c>
    </row>
    <row r="147" spans="1:23" s="4" customFormat="1" ht="52.5" customHeight="1">
      <c r="A147" s="12">
        <v>139</v>
      </c>
      <c r="B147" s="11" t="s">
        <v>351</v>
      </c>
      <c r="C147" s="52" t="s">
        <v>382</v>
      </c>
      <c r="D147" s="56">
        <v>2</v>
      </c>
      <c r="E147" s="8" t="s">
        <v>389</v>
      </c>
      <c r="F147" s="8">
        <v>2</v>
      </c>
      <c r="G147" s="66" t="s">
        <v>410</v>
      </c>
      <c r="H147" s="55"/>
      <c r="I147" s="50" t="s">
        <v>3</v>
      </c>
      <c r="J147" s="50" t="s">
        <v>1007</v>
      </c>
      <c r="K147" s="50" t="s">
        <v>1019</v>
      </c>
      <c r="L147" s="357"/>
      <c r="M147" s="69">
        <f>'Dados Detalhados'!$L$1332</f>
        <v>0</v>
      </c>
      <c r="N147" s="69">
        <f>'Dados Detalhados'!$L$1333</f>
        <v>0</v>
      </c>
      <c r="O147" s="69">
        <f>'Dados Detalhados'!$L$1334</f>
        <v>0</v>
      </c>
      <c r="P147" s="78">
        <f t="shared" si="14"/>
        <v>0</v>
      </c>
      <c r="Q147" s="78"/>
      <c r="R147" s="78"/>
      <c r="S147" s="78"/>
      <c r="T147" s="78"/>
      <c r="U147" s="78"/>
      <c r="V147" s="78"/>
      <c r="W147" s="78">
        <f t="shared" si="20"/>
        <v>0</v>
      </c>
    </row>
    <row r="148" spans="1:23" s="4" customFormat="1" ht="52.5" customHeight="1">
      <c r="A148" s="12">
        <v>140</v>
      </c>
      <c r="B148" s="11" t="s">
        <v>352</v>
      </c>
      <c r="C148" s="52" t="s">
        <v>383</v>
      </c>
      <c r="D148" s="56">
        <v>3</v>
      </c>
      <c r="E148" s="8" t="s">
        <v>389</v>
      </c>
      <c r="F148" s="8">
        <v>2</v>
      </c>
      <c r="G148" s="66" t="s">
        <v>410</v>
      </c>
      <c r="H148" s="55"/>
      <c r="I148" s="50" t="s">
        <v>3</v>
      </c>
      <c r="J148" s="50" t="s">
        <v>1006</v>
      </c>
      <c r="K148" s="310" t="s">
        <v>1015</v>
      </c>
      <c r="L148" s="357" t="s">
        <v>1116</v>
      </c>
      <c r="M148" s="236">
        <f>'Dados Detalhados'!$L$1353</f>
        <v>92.833333333333329</v>
      </c>
      <c r="N148" s="236">
        <f>'Dados Detalhados'!$L$1354</f>
        <v>92.833333333333329</v>
      </c>
      <c r="O148" s="236">
        <f>'Dados Detalhados'!$L$1213</f>
        <v>0</v>
      </c>
      <c r="P148" s="78">
        <f t="shared" si="14"/>
        <v>185.66666666666666</v>
      </c>
      <c r="Q148" s="78"/>
      <c r="R148" s="78"/>
      <c r="S148" s="78"/>
      <c r="T148" s="78"/>
      <c r="U148" s="78">
        <f t="shared" si="15"/>
        <v>185.66666666666666</v>
      </c>
      <c r="V148" s="78"/>
      <c r="W148" s="78"/>
    </row>
    <row r="149" spans="1:23" s="4" customFormat="1" ht="52.5" customHeight="1">
      <c r="A149" s="12">
        <v>141</v>
      </c>
      <c r="B149" s="11" t="s">
        <v>353</v>
      </c>
      <c r="C149" s="52" t="s">
        <v>369</v>
      </c>
      <c r="D149" s="56">
        <v>1</v>
      </c>
      <c r="E149" s="8" t="s">
        <v>389</v>
      </c>
      <c r="F149" s="8">
        <v>2</v>
      </c>
      <c r="G149" s="66" t="s">
        <v>410</v>
      </c>
      <c r="H149" s="55"/>
      <c r="I149" s="50"/>
      <c r="J149" s="50" t="s">
        <v>1006</v>
      </c>
      <c r="K149" s="50" t="s">
        <v>1016</v>
      </c>
      <c r="L149" s="357" t="s">
        <v>1115</v>
      </c>
      <c r="M149" s="237">
        <f>'Dados Detalhados'!$L$1361</f>
        <v>6502.7564645041803</v>
      </c>
      <c r="N149" s="69">
        <f>'Dados Detalhados'!$L$1362</f>
        <v>0</v>
      </c>
      <c r="O149" s="69">
        <f>'Dados Detalhados'!$L$1363</f>
        <v>0</v>
      </c>
      <c r="P149" s="78">
        <f t="shared" si="14"/>
        <v>6502.7564645041803</v>
      </c>
      <c r="Q149" s="78">
        <f t="shared" si="16"/>
        <v>6502.7564645041803</v>
      </c>
      <c r="R149" s="78"/>
      <c r="S149" s="78"/>
      <c r="T149" s="78"/>
      <c r="U149" s="78"/>
      <c r="V149" s="78"/>
      <c r="W149" s="78"/>
    </row>
    <row r="150" spans="1:23" s="4" customFormat="1" ht="52.5" customHeight="1">
      <c r="A150" s="12">
        <v>142</v>
      </c>
      <c r="B150" s="11" t="s">
        <v>354</v>
      </c>
      <c r="C150" s="52" t="s">
        <v>372</v>
      </c>
      <c r="D150" s="56">
        <v>1</v>
      </c>
      <c r="E150" s="33" t="s">
        <v>4</v>
      </c>
      <c r="F150" s="8">
        <v>5</v>
      </c>
      <c r="G150" s="66" t="s">
        <v>410</v>
      </c>
      <c r="H150" s="55"/>
      <c r="I150" s="50" t="s">
        <v>3</v>
      </c>
      <c r="J150" s="50" t="s">
        <v>1006</v>
      </c>
      <c r="K150" s="310" t="s">
        <v>1024</v>
      </c>
      <c r="L150" s="357"/>
      <c r="M150" s="69">
        <f>'Dados Detalhados'!$L$1389</f>
        <v>0</v>
      </c>
      <c r="N150" s="69">
        <f>'Dados Detalhados'!$L$1390</f>
        <v>0</v>
      </c>
      <c r="O150" s="69">
        <f>'Dados Detalhados'!$L$1391</f>
        <v>0</v>
      </c>
      <c r="P150" s="78">
        <f t="shared" si="14"/>
        <v>0</v>
      </c>
      <c r="Q150" s="78"/>
      <c r="R150" s="78"/>
      <c r="S150" s="78">
        <f t="shared" si="18"/>
        <v>0</v>
      </c>
      <c r="T150" s="78"/>
      <c r="U150" s="78"/>
      <c r="V150" s="78"/>
      <c r="W150" s="78"/>
    </row>
    <row r="151" spans="1:23" s="4" customFormat="1" ht="52.5" customHeight="1">
      <c r="A151" s="12">
        <v>143</v>
      </c>
      <c r="B151" s="11" t="s">
        <v>355</v>
      </c>
      <c r="C151" s="52" t="s">
        <v>371</v>
      </c>
      <c r="D151" s="56">
        <v>1</v>
      </c>
      <c r="E151" s="33" t="s">
        <v>4</v>
      </c>
      <c r="F151" s="8">
        <v>5</v>
      </c>
      <c r="G151" s="66" t="s">
        <v>410</v>
      </c>
      <c r="H151" s="55"/>
      <c r="I151" s="50" t="s">
        <v>3</v>
      </c>
      <c r="J151" s="50" t="s">
        <v>1006</v>
      </c>
      <c r="K151" s="310" t="s">
        <v>1024</v>
      </c>
      <c r="L151" s="357"/>
      <c r="M151" s="69">
        <f>'Dados Detalhados'!$L$1395</f>
        <v>0</v>
      </c>
      <c r="N151" s="69">
        <f>'Dados Detalhados'!$L$1396</f>
        <v>0</v>
      </c>
      <c r="O151" s="69">
        <f>'Dados Detalhados'!$L$1397</f>
        <v>0</v>
      </c>
      <c r="P151" s="78">
        <f t="shared" si="14"/>
        <v>0</v>
      </c>
      <c r="Q151" s="78">
        <f t="shared" si="16"/>
        <v>0</v>
      </c>
      <c r="R151" s="78">
        <f t="shared" si="17"/>
        <v>0</v>
      </c>
      <c r="S151" s="78">
        <f t="shared" si="18"/>
        <v>0</v>
      </c>
      <c r="T151" s="78">
        <f t="shared" si="19"/>
        <v>0</v>
      </c>
      <c r="U151" s="78">
        <f t="shared" si="15"/>
        <v>0</v>
      </c>
      <c r="V151" s="78"/>
      <c r="W151" s="78">
        <f t="shared" si="20"/>
        <v>0</v>
      </c>
    </row>
    <row r="152" spans="1:23" s="4" customFormat="1" ht="52.5" customHeight="1">
      <c r="A152" s="12">
        <v>144</v>
      </c>
      <c r="B152" s="11" t="s">
        <v>356</v>
      </c>
      <c r="C152" s="52" t="s">
        <v>370</v>
      </c>
      <c r="D152" s="56">
        <v>1</v>
      </c>
      <c r="E152" s="33" t="s">
        <v>4</v>
      </c>
      <c r="F152" s="8">
        <v>5</v>
      </c>
      <c r="G152" s="66" t="s">
        <v>410</v>
      </c>
      <c r="H152" s="55"/>
      <c r="I152" s="50" t="s">
        <v>3</v>
      </c>
      <c r="J152" s="50" t="s">
        <v>1006</v>
      </c>
      <c r="K152" s="310" t="s">
        <v>1024</v>
      </c>
      <c r="L152" s="357"/>
      <c r="M152" s="69">
        <f>'Dados Detalhados'!$L$1401</f>
        <v>0</v>
      </c>
      <c r="N152" s="69">
        <f>'Dados Detalhados'!$L$1402</f>
        <v>0</v>
      </c>
      <c r="O152" s="69">
        <f>'Dados Detalhados'!$L$1403</f>
        <v>0</v>
      </c>
      <c r="P152" s="78">
        <f t="shared" si="14"/>
        <v>0</v>
      </c>
      <c r="Q152" s="78"/>
      <c r="R152" s="78"/>
      <c r="S152" s="78"/>
      <c r="T152" s="78"/>
      <c r="U152" s="78"/>
      <c r="V152" s="78"/>
      <c r="W152" s="78">
        <f t="shared" si="20"/>
        <v>0</v>
      </c>
    </row>
    <row r="153" spans="1:23" s="4" customFormat="1" ht="52.5" customHeight="1">
      <c r="A153" s="12">
        <v>145</v>
      </c>
      <c r="B153" s="11" t="s">
        <v>357</v>
      </c>
      <c r="C153" s="64" t="s">
        <v>394</v>
      </c>
      <c r="D153" s="56">
        <v>1</v>
      </c>
      <c r="E153" s="33" t="s">
        <v>4</v>
      </c>
      <c r="F153" s="8">
        <v>5</v>
      </c>
      <c r="G153" s="66" t="s">
        <v>410</v>
      </c>
      <c r="H153" s="55"/>
      <c r="I153" s="50" t="s">
        <v>368</v>
      </c>
      <c r="J153" s="50" t="s">
        <v>1006</v>
      </c>
      <c r="K153" s="310" t="s">
        <v>1024</v>
      </c>
      <c r="L153" s="357"/>
      <c r="M153" s="238">
        <f>'Dados Detalhados'!$L$1407</f>
        <v>9538.8791176069535</v>
      </c>
      <c r="N153" s="69">
        <f>'Dados Detalhados'!$L$1408</f>
        <v>0</v>
      </c>
      <c r="O153" s="69">
        <f>'Dados Detalhados'!$L$1409</f>
        <v>0</v>
      </c>
      <c r="P153" s="78">
        <f t="shared" si="14"/>
        <v>9538.8791176069535</v>
      </c>
      <c r="Q153" s="78"/>
      <c r="R153" s="78"/>
      <c r="S153" s="78">
        <f t="shared" si="18"/>
        <v>9538.8791176069535</v>
      </c>
      <c r="T153" s="78"/>
      <c r="U153" s="78"/>
      <c r="V153" s="78"/>
      <c r="W153" s="78"/>
    </row>
    <row r="154" spans="1:23" s="4" customFormat="1" ht="52.5" customHeight="1">
      <c r="A154" s="12">
        <v>146</v>
      </c>
      <c r="B154" s="11" t="s">
        <v>358</v>
      </c>
      <c r="C154" s="298" t="s">
        <v>1113</v>
      </c>
      <c r="D154" s="56">
        <v>1</v>
      </c>
      <c r="E154" s="33" t="s">
        <v>4</v>
      </c>
      <c r="F154" s="8">
        <v>5</v>
      </c>
      <c r="G154" s="66" t="s">
        <v>408</v>
      </c>
      <c r="H154" s="55"/>
      <c r="I154" s="50" t="s">
        <v>3</v>
      </c>
      <c r="J154" s="50" t="s">
        <v>1008</v>
      </c>
      <c r="K154" s="310" t="s">
        <v>1018</v>
      </c>
      <c r="L154" s="357" t="s">
        <v>1112</v>
      </c>
      <c r="M154" s="237">
        <f>'Dados Detalhados'!$L$1440</f>
        <v>24512.5</v>
      </c>
      <c r="N154" s="237">
        <f>'Dados Detalhados'!$L$1441</f>
        <v>24512.5</v>
      </c>
      <c r="O154" s="237">
        <f>'Dados Detalhados'!$L$1442</f>
        <v>24512.5</v>
      </c>
      <c r="P154" s="78">
        <f t="shared" si="14"/>
        <v>73537.5</v>
      </c>
      <c r="Q154" s="78">
        <f t="shared" si="16"/>
        <v>73537.5</v>
      </c>
      <c r="R154" s="78"/>
      <c r="S154" s="78"/>
      <c r="T154" s="78"/>
      <c r="U154" s="78"/>
      <c r="V154" s="78"/>
      <c r="W154" s="78"/>
    </row>
    <row r="155" spans="1:23" s="4" customFormat="1" ht="52.5" customHeight="1">
      <c r="A155" s="12">
        <v>147</v>
      </c>
      <c r="B155" s="11" t="s">
        <v>359</v>
      </c>
      <c r="C155" s="1" t="s">
        <v>366</v>
      </c>
      <c r="D155" s="56">
        <v>1</v>
      </c>
      <c r="E155" s="33" t="s">
        <v>4</v>
      </c>
      <c r="F155" s="8">
        <v>5</v>
      </c>
      <c r="G155" s="66" t="s">
        <v>408</v>
      </c>
      <c r="H155" s="55"/>
      <c r="I155" s="50" t="s">
        <v>3</v>
      </c>
      <c r="J155" s="50" t="s">
        <v>1007</v>
      </c>
      <c r="K155" s="310" t="s">
        <v>1024</v>
      </c>
      <c r="L155" s="357" t="s">
        <v>1119</v>
      </c>
      <c r="M155" s="237">
        <f>'Dados Detalhados'!$L$1466</f>
        <v>33095.055555555555</v>
      </c>
      <c r="N155" s="237">
        <f>'Dados Detalhados'!$L$1467</f>
        <v>33095.055555555555</v>
      </c>
      <c r="O155" s="69">
        <f>'Dados Detalhados'!$L$1468</f>
        <v>0</v>
      </c>
      <c r="P155" s="78">
        <f t="shared" si="14"/>
        <v>66190.111111111109</v>
      </c>
      <c r="Q155" s="78">
        <f t="shared" si="16"/>
        <v>66190.111111111109</v>
      </c>
      <c r="R155" s="78"/>
      <c r="S155" s="78"/>
      <c r="T155" s="78"/>
      <c r="U155" s="78"/>
      <c r="V155" s="78"/>
      <c r="W155" s="78"/>
    </row>
    <row r="156" spans="1:23" s="4" customFormat="1" ht="52.5" customHeight="1">
      <c r="A156" s="12">
        <v>148</v>
      </c>
      <c r="B156" s="11" t="s">
        <v>360</v>
      </c>
      <c r="C156" s="64" t="s">
        <v>395</v>
      </c>
      <c r="D156" s="56">
        <v>2</v>
      </c>
      <c r="E156" s="8" t="s">
        <v>389</v>
      </c>
      <c r="F156" s="8">
        <v>2</v>
      </c>
      <c r="G156" s="66" t="s">
        <v>408</v>
      </c>
      <c r="H156" s="55"/>
      <c r="I156" s="50" t="s">
        <v>3</v>
      </c>
      <c r="J156" s="50" t="s">
        <v>1006</v>
      </c>
      <c r="K156" s="50" t="s">
        <v>1016</v>
      </c>
      <c r="L156" s="357" t="s">
        <v>1103</v>
      </c>
      <c r="M156" s="69">
        <f>'Dados Detalhados'!$L$1487</f>
        <v>15000</v>
      </c>
      <c r="N156" s="69">
        <f>'Dados Detalhados'!$L$1488</f>
        <v>0</v>
      </c>
      <c r="O156" s="69">
        <f>'Dados Detalhados'!$L$1489</f>
        <v>0</v>
      </c>
      <c r="P156" s="78">
        <f t="shared" si="14"/>
        <v>15000</v>
      </c>
      <c r="Q156" s="78"/>
      <c r="R156" s="78"/>
      <c r="S156" s="78"/>
      <c r="T156" s="78"/>
      <c r="U156" s="78"/>
      <c r="V156" s="78"/>
      <c r="W156" s="78">
        <f t="shared" si="20"/>
        <v>15000</v>
      </c>
    </row>
    <row r="157" spans="1:23" s="4" customFormat="1" ht="52.5" customHeight="1">
      <c r="A157" s="12">
        <v>149</v>
      </c>
      <c r="B157" s="11" t="s">
        <v>361</v>
      </c>
      <c r="C157" s="64" t="s">
        <v>396</v>
      </c>
      <c r="D157" s="56">
        <v>1</v>
      </c>
      <c r="E157" s="33" t="s">
        <v>4</v>
      </c>
      <c r="F157" s="8">
        <v>5</v>
      </c>
      <c r="G157" s="66" t="s">
        <v>409</v>
      </c>
      <c r="H157" s="55"/>
      <c r="I157" s="50" t="s">
        <v>3</v>
      </c>
      <c r="J157" s="50" t="s">
        <v>1006</v>
      </c>
      <c r="K157" s="50" t="s">
        <v>1020</v>
      </c>
      <c r="L157" s="357" t="s">
        <v>1104</v>
      </c>
      <c r="M157" s="69">
        <f>'Dados Detalhados'!$L$1493</f>
        <v>0</v>
      </c>
      <c r="N157" s="69">
        <f>'Dados Detalhados'!$L$1494</f>
        <v>0</v>
      </c>
      <c r="O157" s="69">
        <f>'Dados Detalhados'!$L$1495</f>
        <v>0</v>
      </c>
      <c r="P157" s="78">
        <f t="shared" si="14"/>
        <v>0</v>
      </c>
      <c r="Q157" s="78">
        <f t="shared" si="16"/>
        <v>0</v>
      </c>
      <c r="R157" s="78"/>
      <c r="S157" s="78"/>
      <c r="T157" s="78"/>
      <c r="U157" s="78"/>
      <c r="V157" s="78"/>
      <c r="W157" s="78"/>
    </row>
    <row r="158" spans="1:23" s="4" customFormat="1" ht="52.5" customHeight="1">
      <c r="A158" s="12">
        <v>150</v>
      </c>
      <c r="B158" s="11" t="s">
        <v>362</v>
      </c>
      <c r="C158" s="65" t="s">
        <v>391</v>
      </c>
      <c r="D158" s="56">
        <v>2</v>
      </c>
      <c r="E158" s="33" t="s">
        <v>4</v>
      </c>
      <c r="F158" s="8">
        <v>5</v>
      </c>
      <c r="G158" s="66" t="s">
        <v>410</v>
      </c>
      <c r="H158" s="55"/>
      <c r="I158" s="50" t="s">
        <v>3</v>
      </c>
      <c r="J158" s="50" t="s">
        <v>1006</v>
      </c>
      <c r="K158" s="310" t="s">
        <v>1024</v>
      </c>
      <c r="L158" s="357"/>
      <c r="M158" s="69">
        <f>'Dados Detalhados'!$L$1499</f>
        <v>10583.9</v>
      </c>
      <c r="N158" s="69">
        <f>'Dados Detalhados'!$L$1500</f>
        <v>0</v>
      </c>
      <c r="O158" s="69">
        <f>'Dados Detalhados'!$L$1501</f>
        <v>0</v>
      </c>
      <c r="P158" s="78">
        <f t="shared" si="14"/>
        <v>10583.9</v>
      </c>
      <c r="Q158" s="78"/>
      <c r="R158" s="78"/>
      <c r="S158" s="78"/>
      <c r="T158" s="78"/>
      <c r="U158" s="78"/>
      <c r="V158" s="78"/>
      <c r="W158" s="78">
        <f t="shared" si="20"/>
        <v>10583.9</v>
      </c>
    </row>
    <row r="159" spans="1:23" s="4" customFormat="1" ht="52.5" customHeight="1">
      <c r="A159" s="12">
        <v>151</v>
      </c>
      <c r="B159" s="11" t="s">
        <v>363</v>
      </c>
      <c r="C159" s="1" t="s">
        <v>365</v>
      </c>
      <c r="D159" s="56">
        <v>1</v>
      </c>
      <c r="E159" s="33" t="s">
        <v>4</v>
      </c>
      <c r="F159" s="8">
        <v>5</v>
      </c>
      <c r="G159" s="66" t="s">
        <v>410</v>
      </c>
      <c r="H159" s="55"/>
      <c r="I159" s="50" t="s">
        <v>3</v>
      </c>
      <c r="J159" s="50" t="s">
        <v>1006</v>
      </c>
      <c r="K159" s="50" t="s">
        <v>1019</v>
      </c>
      <c r="L159" s="357" t="s">
        <v>1094</v>
      </c>
      <c r="M159" s="69">
        <f>'Dados Detalhados'!$L$1505</f>
        <v>0</v>
      </c>
      <c r="N159" s="238">
        <f>'Dados Detalhados'!$L$1506</f>
        <v>5857.4564645041792</v>
      </c>
      <c r="O159" s="69">
        <f>'Dados Detalhados'!$L$1507</f>
        <v>0</v>
      </c>
      <c r="P159" s="78">
        <f t="shared" si="14"/>
        <v>5857.4564645041792</v>
      </c>
      <c r="Q159" s="78"/>
      <c r="R159" s="78"/>
      <c r="S159" s="78">
        <f t="shared" si="18"/>
        <v>5857.4564645041792</v>
      </c>
      <c r="T159" s="78"/>
      <c r="U159" s="78"/>
      <c r="V159" s="78"/>
      <c r="W159" s="78"/>
    </row>
    <row r="160" spans="1:23" s="4" customFormat="1">
      <c r="A160" s="2"/>
      <c r="B160" s="2"/>
      <c r="D160" s="2"/>
      <c r="E160" s="2"/>
      <c r="F160" s="2"/>
      <c r="G160" s="2"/>
      <c r="H160" s="2"/>
      <c r="I160" s="2"/>
      <c r="J160" s="2"/>
      <c r="K160" s="2"/>
      <c r="L160" s="358"/>
      <c r="M160" s="247">
        <f>SUM(M5:M159)</f>
        <v>1551677.4954232394</v>
      </c>
      <c r="N160" s="247">
        <f>SUM(N5:N159)</f>
        <v>631433.3925087885</v>
      </c>
      <c r="O160" s="247">
        <f>SUM(O5:O159)</f>
        <v>495582.34435871302</v>
      </c>
      <c r="P160" s="247">
        <f t="shared" ref="P160:W160" si="21">SUM(P5:P159)</f>
        <v>2678693.232290742</v>
      </c>
      <c r="Q160" s="63">
        <f t="shared" si="21"/>
        <v>1385986.5909089481</v>
      </c>
      <c r="R160" s="63">
        <f t="shared" si="21"/>
        <v>609510.69999999995</v>
      </c>
      <c r="S160" s="63">
        <f t="shared" si="21"/>
        <v>20359.39558211113</v>
      </c>
      <c r="T160" s="63">
        <f t="shared" si="21"/>
        <v>26728</v>
      </c>
      <c r="U160" s="63">
        <f t="shared" si="21"/>
        <v>282980.62579968147</v>
      </c>
      <c r="V160" s="63">
        <f t="shared" si="21"/>
        <v>0</v>
      </c>
      <c r="W160" s="63">
        <f t="shared" si="21"/>
        <v>353127.92</v>
      </c>
    </row>
    <row r="161" spans="1:23" s="4" customFormat="1" ht="15" customHeight="1">
      <c r="A161" s="2"/>
      <c r="B161" s="2"/>
      <c r="D161" s="2"/>
      <c r="E161" s="2"/>
      <c r="F161" s="2"/>
      <c r="G161" s="2"/>
      <c r="H161" s="251"/>
      <c r="I161" s="251"/>
      <c r="J161" s="251"/>
      <c r="K161" s="251"/>
      <c r="L161" s="2"/>
      <c r="M161" s="251"/>
      <c r="N161" s="251"/>
      <c r="O161" s="251"/>
      <c r="P161" s="252"/>
      <c r="Q161" s="308">
        <f>SUBTOTAL(9,Q5:Q62)</f>
        <v>538360.74</v>
      </c>
      <c r="R161" s="2"/>
      <c r="S161" s="2"/>
      <c r="T161" s="2"/>
      <c r="U161" s="2"/>
      <c r="V161" s="2"/>
      <c r="W161" s="2"/>
    </row>
    <row r="162" spans="1:23" s="4" customFormat="1" ht="34.5" customHeight="1">
      <c r="A162" s="2"/>
      <c r="B162" s="2"/>
      <c r="D162" s="2"/>
      <c r="E162" s="2"/>
      <c r="F162" s="2"/>
      <c r="G162" s="2"/>
      <c r="H162" s="248"/>
      <c r="I162" s="248"/>
      <c r="J162" s="248"/>
      <c r="K162" s="248"/>
      <c r="L162" s="2"/>
      <c r="M162" s="249"/>
      <c r="N162" s="249"/>
      <c r="O162" s="249"/>
      <c r="P162" s="250"/>
      <c r="Q162" s="239">
        <v>1284521.5900000001</v>
      </c>
      <c r="R162" s="2"/>
      <c r="S162" s="2"/>
      <c r="T162" s="2"/>
      <c r="U162" s="2"/>
      <c r="V162" s="2"/>
      <c r="W162" s="2"/>
    </row>
    <row r="163" spans="1:23" ht="15" customHeight="1">
      <c r="M163" s="4"/>
      <c r="Q163" s="239">
        <f>+Q161/Q162</f>
        <v>0.41911381185893493</v>
      </c>
    </row>
    <row r="164" spans="1:23" s="3" customFormat="1" ht="18.75" customHeight="1">
      <c r="L164" s="2"/>
      <c r="N164" s="2"/>
      <c r="O164" s="2"/>
      <c r="P164" s="2"/>
      <c r="Q164" s="308">
        <f>SUBTOTAL(9,Q6:Q46)</f>
        <v>436222.87</v>
      </c>
      <c r="R164" s="2"/>
      <c r="S164" s="2"/>
      <c r="T164" s="2"/>
      <c r="U164" s="2"/>
      <c r="V164" s="2"/>
      <c r="W164" s="2"/>
    </row>
    <row r="165" spans="1:23">
      <c r="Q165" s="308">
        <v>1284521.5900000001</v>
      </c>
    </row>
    <row r="166" spans="1:23" s="3" customFormat="1" ht="15" customHeight="1">
      <c r="L166" s="2"/>
      <c r="N166" s="2"/>
      <c r="O166" s="2"/>
      <c r="P166" s="2"/>
      <c r="Q166" s="309">
        <f>+Q164/Q165</f>
        <v>0.33959948466105577</v>
      </c>
      <c r="R166" s="2"/>
      <c r="S166" s="2"/>
      <c r="T166" s="2"/>
      <c r="U166" s="2"/>
      <c r="V166" s="2"/>
      <c r="W166" s="2"/>
    </row>
    <row r="167" spans="1:23">
      <c r="Q167" s="2">
        <f>SUBTOTAL(9,Q13:Q156)</f>
        <v>1352885.010908948</v>
      </c>
    </row>
    <row r="168" spans="1:23">
      <c r="Q168" s="2">
        <v>1284521.5900000001</v>
      </c>
    </row>
    <row r="169" spans="1:23">
      <c r="Q169" s="309">
        <f>+Q167/Q168</f>
        <v>1.0532209201006484</v>
      </c>
    </row>
  </sheetData>
  <protectedRanges>
    <protectedRange sqref="L16" name="Range1"/>
  </protectedRanges>
  <mergeCells count="1">
    <mergeCell ref="Q3:V3"/>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sheetPr>
    <tabColor rgb="FFFFC000"/>
  </sheetPr>
  <dimension ref="A1:P1536"/>
  <sheetViews>
    <sheetView zoomScaleNormal="100" workbookViewId="0">
      <selection activeCell="R1217" sqref="R1217"/>
    </sheetView>
  </sheetViews>
  <sheetFormatPr defaultRowHeight="15"/>
  <cols>
    <col min="1" max="1" width="4.140625" style="2" customWidth="1"/>
    <col min="2" max="2" width="5.28515625" style="2" bestFit="1" customWidth="1"/>
    <col min="3" max="3" width="4.42578125" style="2" bestFit="1" customWidth="1"/>
    <col min="4" max="4" width="9.85546875" style="2" customWidth="1"/>
    <col min="5" max="5" width="26.42578125" style="2" customWidth="1"/>
    <col min="6" max="6" width="40.42578125" style="2" customWidth="1"/>
    <col min="7" max="7" width="28.85546875" style="2" customWidth="1"/>
    <col min="8" max="9" width="8.7109375" style="2" customWidth="1"/>
    <col min="10" max="11" width="5.7109375" style="2" customWidth="1"/>
    <col min="12" max="12" width="16.28515625" style="2" customWidth="1"/>
    <col min="13" max="13" width="10.42578125" style="2" hidden="1" customWidth="1"/>
    <col min="14" max="14" width="10.140625" style="2" hidden="1" customWidth="1"/>
    <col min="15" max="15" width="10.140625" style="2" customWidth="1"/>
    <col min="16" max="16" width="12" style="2" bestFit="1" customWidth="1"/>
    <col min="17" max="16384" width="9.140625" style="2"/>
  </cols>
  <sheetData>
    <row r="1" spans="2:16" ht="24" customHeight="1">
      <c r="C1" s="384" t="s">
        <v>658</v>
      </c>
      <c r="D1" s="385"/>
      <c r="E1" s="385"/>
      <c r="F1" s="386"/>
      <c r="G1" s="387" t="s">
        <v>659</v>
      </c>
      <c r="H1" s="388"/>
      <c r="I1" s="388"/>
      <c r="J1" s="388"/>
      <c r="K1" s="388"/>
      <c r="L1" s="389"/>
      <c r="M1" s="390" t="s">
        <v>660</v>
      </c>
      <c r="N1" s="391"/>
    </row>
    <row r="2" spans="2:16" ht="76.5" customHeight="1">
      <c r="B2" s="90" t="s">
        <v>278</v>
      </c>
      <c r="C2" s="91" t="s">
        <v>661</v>
      </c>
      <c r="D2" s="92" t="s">
        <v>662</v>
      </c>
      <c r="E2" s="93" t="s">
        <v>663</v>
      </c>
      <c r="F2" s="94" t="s">
        <v>664</v>
      </c>
      <c r="G2" s="95" t="s">
        <v>665</v>
      </c>
      <c r="H2" s="96" t="s">
        <v>420</v>
      </c>
      <c r="I2" s="96" t="s">
        <v>421</v>
      </c>
      <c r="J2" s="96" t="s">
        <v>422</v>
      </c>
      <c r="K2" s="96" t="s">
        <v>423</v>
      </c>
      <c r="L2" s="97" t="s">
        <v>666</v>
      </c>
      <c r="M2" s="98" t="s">
        <v>667</v>
      </c>
      <c r="N2" s="99" t="s">
        <v>668</v>
      </c>
      <c r="O2" s="295" t="s">
        <v>998</v>
      </c>
      <c r="P2" s="296">
        <v>17926</v>
      </c>
    </row>
    <row r="3" spans="2:16" s="138" customFormat="1" ht="72.75">
      <c r="B3" s="126">
        <v>1</v>
      </c>
      <c r="C3" s="127">
        <v>1</v>
      </c>
      <c r="D3" s="128" t="s">
        <v>266</v>
      </c>
      <c r="E3" s="129" t="s">
        <v>265</v>
      </c>
      <c r="F3" s="130" t="s">
        <v>669</v>
      </c>
      <c r="G3" s="131" t="s">
        <v>480</v>
      </c>
      <c r="H3" s="132"/>
      <c r="I3" s="132"/>
      <c r="J3" s="132"/>
      <c r="K3" s="132"/>
      <c r="L3" s="131">
        <f>SUM(L4:L36)</f>
        <v>7778.35</v>
      </c>
      <c r="M3" s="133">
        <v>7778</v>
      </c>
      <c r="N3" s="134">
        <v>7778</v>
      </c>
    </row>
    <row r="4" spans="2:16" ht="15.75">
      <c r="B4" s="106">
        <v>2</v>
      </c>
      <c r="C4" s="107">
        <v>1</v>
      </c>
      <c r="D4" s="108"/>
      <c r="E4" s="25"/>
      <c r="F4" s="25"/>
      <c r="G4" s="109" t="s">
        <v>452</v>
      </c>
      <c r="H4" s="109"/>
      <c r="I4" s="109"/>
      <c r="J4" s="109"/>
      <c r="K4" s="109"/>
      <c r="L4" s="110" t="s">
        <v>670</v>
      </c>
      <c r="M4" s="111"/>
      <c r="N4" s="111"/>
    </row>
    <row r="5" spans="2:16" ht="15.75">
      <c r="B5" s="106">
        <v>3</v>
      </c>
      <c r="C5" s="107">
        <v>1</v>
      </c>
      <c r="D5" s="108"/>
      <c r="E5" s="25"/>
      <c r="F5" s="25"/>
      <c r="G5" s="112" t="s">
        <v>453</v>
      </c>
      <c r="H5" s="112">
        <v>25</v>
      </c>
      <c r="I5" s="110">
        <v>2</v>
      </c>
      <c r="J5" s="110">
        <v>1</v>
      </c>
      <c r="K5" s="110">
        <v>5</v>
      </c>
      <c r="L5" s="110">
        <f>H5*I5*J5*K5</f>
        <v>250</v>
      </c>
      <c r="M5" s="111"/>
      <c r="N5" s="111"/>
    </row>
    <row r="6" spans="2:16" ht="15.75">
      <c r="B6" s="106">
        <v>4</v>
      </c>
      <c r="C6" s="107">
        <v>1</v>
      </c>
      <c r="D6" s="108"/>
      <c r="E6" s="25"/>
      <c r="F6" s="25"/>
      <c r="G6" s="112" t="s">
        <v>429</v>
      </c>
      <c r="H6" s="112">
        <v>4</v>
      </c>
      <c r="I6" s="110">
        <v>34</v>
      </c>
      <c r="J6" s="110">
        <v>1</v>
      </c>
      <c r="K6" s="110">
        <v>5</v>
      </c>
      <c r="L6" s="110">
        <f t="shared" ref="L6:L35" si="0">H6*I6*J6*K6</f>
        <v>680</v>
      </c>
      <c r="M6" s="111"/>
      <c r="N6" s="111"/>
    </row>
    <row r="7" spans="2:16" ht="15.75">
      <c r="B7" s="106">
        <v>5</v>
      </c>
      <c r="C7" s="107">
        <v>1</v>
      </c>
      <c r="D7" s="108"/>
      <c r="E7" s="25"/>
      <c r="F7" s="25"/>
      <c r="G7" s="112" t="s">
        <v>430</v>
      </c>
      <c r="H7" s="112">
        <v>8</v>
      </c>
      <c r="I7" s="110">
        <v>34</v>
      </c>
      <c r="J7" s="110">
        <v>1</v>
      </c>
      <c r="K7" s="110">
        <v>5</v>
      </c>
      <c r="L7" s="110">
        <f t="shared" si="0"/>
        <v>1360</v>
      </c>
      <c r="M7" s="111"/>
      <c r="N7" s="111"/>
    </row>
    <row r="8" spans="2:16" ht="24">
      <c r="B8" s="106">
        <v>6</v>
      </c>
      <c r="C8" s="107">
        <v>1</v>
      </c>
      <c r="D8" s="108"/>
      <c r="E8" s="25"/>
      <c r="F8" s="25"/>
      <c r="G8" s="112" t="s">
        <v>431</v>
      </c>
      <c r="H8" s="112">
        <v>10</v>
      </c>
      <c r="I8" s="110">
        <v>30</v>
      </c>
      <c r="J8" s="110">
        <v>1</v>
      </c>
      <c r="K8" s="110">
        <v>5</v>
      </c>
      <c r="L8" s="110">
        <f t="shared" si="0"/>
        <v>1500</v>
      </c>
      <c r="M8" s="111"/>
      <c r="N8" s="111"/>
    </row>
    <row r="9" spans="2:16" ht="15.75">
      <c r="B9" s="106">
        <v>7</v>
      </c>
      <c r="C9" s="107">
        <v>1</v>
      </c>
      <c r="D9" s="108"/>
      <c r="E9" s="25"/>
      <c r="F9" s="25"/>
      <c r="G9" s="112" t="s">
        <v>432</v>
      </c>
      <c r="H9" s="112">
        <v>8</v>
      </c>
      <c r="I9" s="110">
        <v>1</v>
      </c>
      <c r="J9" s="110">
        <v>1</v>
      </c>
      <c r="K9" s="110">
        <v>5</v>
      </c>
      <c r="L9" s="110">
        <f t="shared" si="0"/>
        <v>40</v>
      </c>
      <c r="M9" s="111"/>
      <c r="N9" s="111"/>
    </row>
    <row r="10" spans="2:16" ht="15.75">
      <c r="B10" s="106">
        <v>8</v>
      </c>
      <c r="C10" s="107">
        <v>1</v>
      </c>
      <c r="D10" s="108"/>
      <c r="E10" s="25"/>
      <c r="F10" s="25"/>
      <c r="G10" s="112" t="s">
        <v>433</v>
      </c>
      <c r="H10" s="112">
        <v>10</v>
      </c>
      <c r="I10" s="110">
        <v>1</v>
      </c>
      <c r="J10" s="110">
        <v>1</v>
      </c>
      <c r="K10" s="110">
        <v>5</v>
      </c>
      <c r="L10" s="110">
        <f t="shared" si="0"/>
        <v>50</v>
      </c>
      <c r="M10" s="111"/>
      <c r="N10" s="111"/>
    </row>
    <row r="11" spans="2:16" ht="24">
      <c r="B11" s="106">
        <v>9</v>
      </c>
      <c r="C11" s="107">
        <v>1</v>
      </c>
      <c r="D11" s="108"/>
      <c r="E11" s="25"/>
      <c r="F11" s="25"/>
      <c r="G11" s="112" t="s">
        <v>481</v>
      </c>
      <c r="H11" s="112">
        <v>135</v>
      </c>
      <c r="I11" s="110">
        <v>1</v>
      </c>
      <c r="J11" s="110">
        <v>1</v>
      </c>
      <c r="K11" s="110">
        <v>7</v>
      </c>
      <c r="L11" s="110">
        <f t="shared" si="0"/>
        <v>945</v>
      </c>
      <c r="M11" s="111"/>
      <c r="N11" s="111"/>
    </row>
    <row r="12" spans="2:16" ht="24">
      <c r="B12" s="106">
        <v>10</v>
      </c>
      <c r="C12" s="107">
        <v>1</v>
      </c>
      <c r="D12" s="108"/>
      <c r="E12" s="25"/>
      <c r="F12" s="25"/>
      <c r="G12" s="112" t="s">
        <v>482</v>
      </c>
      <c r="H12" s="112">
        <v>10</v>
      </c>
      <c r="I12" s="110">
        <v>30</v>
      </c>
      <c r="J12" s="110">
        <v>1</v>
      </c>
      <c r="K12" s="110">
        <v>1</v>
      </c>
      <c r="L12" s="110">
        <f t="shared" si="0"/>
        <v>300</v>
      </c>
      <c r="M12" s="111"/>
      <c r="N12" s="111"/>
    </row>
    <row r="13" spans="2:16" ht="15.75">
      <c r="B13" s="106">
        <v>11</v>
      </c>
      <c r="C13" s="107">
        <v>1</v>
      </c>
      <c r="D13" s="108"/>
      <c r="E13" s="25"/>
      <c r="F13" s="25"/>
      <c r="G13" s="112" t="s">
        <v>455</v>
      </c>
      <c r="H13" s="112">
        <v>260</v>
      </c>
      <c r="I13" s="110">
        <v>1</v>
      </c>
      <c r="J13" s="110">
        <v>1</v>
      </c>
      <c r="K13" s="110">
        <v>1</v>
      </c>
      <c r="L13" s="110">
        <f t="shared" si="0"/>
        <v>260</v>
      </c>
      <c r="M13" s="111"/>
      <c r="N13" s="111"/>
    </row>
    <row r="14" spans="2:16" ht="15.75">
      <c r="B14" s="106">
        <v>12</v>
      </c>
      <c r="C14" s="107">
        <v>1</v>
      </c>
      <c r="D14" s="108"/>
      <c r="E14" s="25"/>
      <c r="F14" s="25"/>
      <c r="G14" s="112" t="s">
        <v>435</v>
      </c>
      <c r="H14" s="112">
        <v>70</v>
      </c>
      <c r="I14" s="110">
        <v>1</v>
      </c>
      <c r="J14" s="110">
        <v>1</v>
      </c>
      <c r="K14" s="110">
        <v>5</v>
      </c>
      <c r="L14" s="110">
        <f t="shared" si="0"/>
        <v>350</v>
      </c>
      <c r="M14" s="111"/>
      <c r="N14" s="111"/>
    </row>
    <row r="15" spans="2:16" ht="15.75">
      <c r="B15" s="106">
        <v>13</v>
      </c>
      <c r="C15" s="107">
        <v>1</v>
      </c>
      <c r="D15" s="108"/>
      <c r="E15" s="25"/>
      <c r="F15" s="25"/>
      <c r="G15" s="112" t="s">
        <v>436</v>
      </c>
      <c r="H15" s="112">
        <v>0.88</v>
      </c>
      <c r="I15" s="110">
        <v>1</v>
      </c>
      <c r="J15" s="110">
        <v>1</v>
      </c>
      <c r="K15" s="110">
        <v>1</v>
      </c>
      <c r="L15" s="110">
        <f t="shared" si="0"/>
        <v>0.88</v>
      </c>
      <c r="M15" s="111"/>
      <c r="N15" s="111"/>
    </row>
    <row r="16" spans="2:16" ht="15.75">
      <c r="B16" s="106">
        <v>14</v>
      </c>
      <c r="C16" s="107">
        <v>1</v>
      </c>
      <c r="D16" s="108"/>
      <c r="E16" s="25"/>
      <c r="F16" s="25"/>
      <c r="G16" s="112" t="s">
        <v>437</v>
      </c>
      <c r="H16" s="112">
        <v>23.48</v>
      </c>
      <c r="I16" s="110">
        <v>1</v>
      </c>
      <c r="J16" s="110">
        <v>1</v>
      </c>
      <c r="K16" s="110">
        <v>1</v>
      </c>
      <c r="L16" s="110">
        <f t="shared" si="0"/>
        <v>23.48</v>
      </c>
      <c r="M16" s="111"/>
      <c r="N16" s="111"/>
    </row>
    <row r="17" spans="2:14" ht="15.75">
      <c r="B17" s="106">
        <v>15</v>
      </c>
      <c r="C17" s="107">
        <v>1</v>
      </c>
      <c r="D17" s="108"/>
      <c r="E17" s="25"/>
      <c r="F17" s="25"/>
      <c r="G17" s="112" t="s">
        <v>483</v>
      </c>
      <c r="H17" s="112">
        <v>20.56</v>
      </c>
      <c r="I17" s="110">
        <v>2</v>
      </c>
      <c r="J17" s="110">
        <v>1</v>
      </c>
      <c r="K17" s="110">
        <v>1</v>
      </c>
      <c r="L17" s="110">
        <f t="shared" si="0"/>
        <v>41.12</v>
      </c>
      <c r="M17" s="111"/>
      <c r="N17" s="111"/>
    </row>
    <row r="18" spans="2:14" ht="15.75">
      <c r="B18" s="106">
        <v>16</v>
      </c>
      <c r="C18" s="107">
        <v>1</v>
      </c>
      <c r="D18" s="108"/>
      <c r="E18" s="25"/>
      <c r="F18" s="25"/>
      <c r="G18" s="112" t="s">
        <v>484</v>
      </c>
      <c r="H18" s="112">
        <v>8.33</v>
      </c>
      <c r="I18" s="110">
        <v>2</v>
      </c>
      <c r="J18" s="110">
        <v>1</v>
      </c>
      <c r="K18" s="110">
        <v>1</v>
      </c>
      <c r="L18" s="110">
        <f t="shared" si="0"/>
        <v>16.66</v>
      </c>
      <c r="M18" s="111"/>
      <c r="N18" s="111"/>
    </row>
    <row r="19" spans="2:14" ht="15.75">
      <c r="B19" s="106">
        <v>17</v>
      </c>
      <c r="C19" s="107">
        <v>1</v>
      </c>
      <c r="D19" s="108"/>
      <c r="E19" s="25"/>
      <c r="F19" s="25"/>
      <c r="G19" s="112" t="s">
        <v>485</v>
      </c>
      <c r="H19" s="112">
        <v>1.1100000000000001</v>
      </c>
      <c r="I19" s="110">
        <v>50</v>
      </c>
      <c r="J19" s="110">
        <v>1</v>
      </c>
      <c r="K19" s="110">
        <v>1</v>
      </c>
      <c r="L19" s="110">
        <f t="shared" si="0"/>
        <v>55.500000000000007</v>
      </c>
      <c r="M19" s="111"/>
      <c r="N19" s="111"/>
    </row>
    <row r="20" spans="2:14" ht="15.75">
      <c r="B20" s="106">
        <v>18</v>
      </c>
      <c r="C20" s="107">
        <v>1</v>
      </c>
      <c r="D20" s="108"/>
      <c r="E20" s="25"/>
      <c r="F20" s="25"/>
      <c r="G20" s="112" t="s">
        <v>438</v>
      </c>
      <c r="H20" s="112">
        <v>0.59</v>
      </c>
      <c r="I20" s="110">
        <v>1</v>
      </c>
      <c r="J20" s="110">
        <v>1</v>
      </c>
      <c r="K20" s="110">
        <v>1</v>
      </c>
      <c r="L20" s="110">
        <f t="shared" si="0"/>
        <v>0.59</v>
      </c>
      <c r="M20" s="111"/>
      <c r="N20" s="111"/>
    </row>
    <row r="21" spans="2:14" ht="15.75">
      <c r="B21" s="106">
        <v>19</v>
      </c>
      <c r="C21" s="107">
        <v>1</v>
      </c>
      <c r="D21" s="108"/>
      <c r="E21" s="25"/>
      <c r="F21" s="25"/>
      <c r="G21" s="110" t="s">
        <v>441</v>
      </c>
      <c r="H21" s="112" t="s">
        <v>671</v>
      </c>
      <c r="I21" s="110"/>
      <c r="J21" s="110"/>
      <c r="K21" s="110"/>
      <c r="L21" s="110"/>
      <c r="M21" s="111"/>
      <c r="N21" s="111"/>
    </row>
    <row r="22" spans="2:14" ht="15.75">
      <c r="B22" s="106">
        <v>20</v>
      </c>
      <c r="C22" s="107">
        <v>1</v>
      </c>
      <c r="D22" s="108"/>
      <c r="E22" s="25"/>
      <c r="F22" s="25"/>
      <c r="G22" s="112" t="s">
        <v>442</v>
      </c>
      <c r="H22" s="112">
        <v>6</v>
      </c>
      <c r="I22" s="110">
        <v>35</v>
      </c>
      <c r="J22" s="110">
        <v>1</v>
      </c>
      <c r="K22" s="110">
        <v>1</v>
      </c>
      <c r="L22" s="110">
        <f t="shared" si="0"/>
        <v>210</v>
      </c>
      <c r="M22" s="111"/>
      <c r="N22" s="111"/>
    </row>
    <row r="23" spans="2:14" ht="15.75">
      <c r="B23" s="106">
        <v>21</v>
      </c>
      <c r="C23" s="107">
        <v>1</v>
      </c>
      <c r="D23" s="108"/>
      <c r="E23" s="25"/>
      <c r="F23" s="25"/>
      <c r="G23" s="112" t="s">
        <v>455</v>
      </c>
      <c r="H23" s="112">
        <v>260</v>
      </c>
      <c r="I23" s="110">
        <v>1</v>
      </c>
      <c r="J23" s="110">
        <v>1</v>
      </c>
      <c r="K23" s="110">
        <v>1</v>
      </c>
      <c r="L23" s="110">
        <f t="shared" si="0"/>
        <v>260</v>
      </c>
      <c r="M23" s="111"/>
      <c r="N23" s="111"/>
    </row>
    <row r="24" spans="2:14" ht="24">
      <c r="B24" s="106">
        <v>22</v>
      </c>
      <c r="C24" s="107">
        <v>1</v>
      </c>
      <c r="D24" s="108"/>
      <c r="E24" s="25"/>
      <c r="F24" s="25"/>
      <c r="G24" s="112" t="s">
        <v>481</v>
      </c>
      <c r="H24" s="112">
        <v>135</v>
      </c>
      <c r="I24" s="110">
        <v>1</v>
      </c>
      <c r="J24" s="110">
        <v>1</v>
      </c>
      <c r="K24" s="110">
        <v>3</v>
      </c>
      <c r="L24" s="110">
        <f t="shared" si="0"/>
        <v>405</v>
      </c>
      <c r="M24" s="111"/>
      <c r="N24" s="111"/>
    </row>
    <row r="25" spans="2:14" ht="15.75">
      <c r="B25" s="106">
        <v>23</v>
      </c>
      <c r="C25" s="107">
        <v>1</v>
      </c>
      <c r="D25" s="108"/>
      <c r="E25" s="25"/>
      <c r="F25" s="25"/>
      <c r="G25" s="112" t="s">
        <v>435</v>
      </c>
      <c r="H25" s="112">
        <v>70</v>
      </c>
      <c r="I25" s="110">
        <v>1</v>
      </c>
      <c r="J25" s="110">
        <v>1</v>
      </c>
      <c r="K25" s="110">
        <v>1</v>
      </c>
      <c r="L25" s="110">
        <f t="shared" si="0"/>
        <v>70</v>
      </c>
      <c r="M25" s="111"/>
      <c r="N25" s="111"/>
    </row>
    <row r="26" spans="2:14" ht="24">
      <c r="B26" s="106">
        <v>24</v>
      </c>
      <c r="C26" s="107">
        <v>1</v>
      </c>
      <c r="D26" s="108"/>
      <c r="E26" s="25"/>
      <c r="F26" s="25"/>
      <c r="G26" s="112" t="s">
        <v>486</v>
      </c>
      <c r="H26" s="112">
        <v>8.33</v>
      </c>
      <c r="I26" s="112">
        <v>7</v>
      </c>
      <c r="J26" s="110">
        <v>1</v>
      </c>
      <c r="K26" s="110">
        <v>1</v>
      </c>
      <c r="L26" s="110">
        <f t="shared" si="0"/>
        <v>58.31</v>
      </c>
      <c r="M26" s="111"/>
      <c r="N26" s="111"/>
    </row>
    <row r="27" spans="2:14" ht="15.75">
      <c r="B27" s="106">
        <v>25</v>
      </c>
      <c r="C27" s="107">
        <v>1</v>
      </c>
      <c r="D27" s="108"/>
      <c r="E27" s="25"/>
      <c r="F27" s="25"/>
      <c r="G27" s="112" t="s">
        <v>444</v>
      </c>
      <c r="H27" s="112">
        <v>1.1100000000000001</v>
      </c>
      <c r="I27" s="110">
        <v>50</v>
      </c>
      <c r="J27" s="110">
        <v>1</v>
      </c>
      <c r="K27" s="110">
        <v>1</v>
      </c>
      <c r="L27" s="110">
        <f t="shared" si="0"/>
        <v>55.500000000000007</v>
      </c>
      <c r="M27" s="111"/>
      <c r="N27" s="111"/>
    </row>
    <row r="28" spans="2:14" ht="15.75">
      <c r="B28" s="106">
        <v>26</v>
      </c>
      <c r="C28" s="107">
        <v>1</v>
      </c>
      <c r="D28" s="108"/>
      <c r="E28" s="25"/>
      <c r="F28" s="25"/>
      <c r="G28" s="112" t="s">
        <v>487</v>
      </c>
      <c r="H28" s="112">
        <v>0.56000000000000005</v>
      </c>
      <c r="I28" s="110">
        <v>70</v>
      </c>
      <c r="J28" s="110">
        <v>1</v>
      </c>
      <c r="K28" s="110">
        <v>1</v>
      </c>
      <c r="L28" s="110">
        <f t="shared" si="0"/>
        <v>39.200000000000003</v>
      </c>
      <c r="M28" s="111"/>
      <c r="N28" s="111"/>
    </row>
    <row r="29" spans="2:14" ht="15.75">
      <c r="B29" s="106">
        <v>27</v>
      </c>
      <c r="C29" s="107">
        <v>1</v>
      </c>
      <c r="D29" s="108"/>
      <c r="E29" s="25"/>
      <c r="F29" s="25"/>
      <c r="G29" s="112" t="s">
        <v>488</v>
      </c>
      <c r="H29" s="112">
        <v>305.56</v>
      </c>
      <c r="I29" s="110">
        <v>1</v>
      </c>
      <c r="J29" s="110">
        <v>1</v>
      </c>
      <c r="K29" s="110">
        <v>1</v>
      </c>
      <c r="L29" s="110">
        <f t="shared" si="0"/>
        <v>305.56</v>
      </c>
      <c r="M29" s="111"/>
      <c r="N29" s="111"/>
    </row>
    <row r="30" spans="2:14" ht="15.75">
      <c r="B30" s="106">
        <v>28</v>
      </c>
      <c r="C30" s="107">
        <v>1</v>
      </c>
      <c r="D30" s="108"/>
      <c r="E30" s="25"/>
      <c r="F30" s="25"/>
      <c r="G30" s="110" t="s">
        <v>489</v>
      </c>
      <c r="H30" s="112" t="s">
        <v>671</v>
      </c>
      <c r="I30" s="110"/>
      <c r="J30" s="110"/>
      <c r="K30" s="110"/>
      <c r="L30" s="110"/>
      <c r="M30" s="111"/>
      <c r="N30" s="111"/>
    </row>
    <row r="31" spans="2:14" ht="15.75">
      <c r="B31" s="106">
        <v>29</v>
      </c>
      <c r="C31" s="107">
        <v>1</v>
      </c>
      <c r="D31" s="108"/>
      <c r="E31" s="25"/>
      <c r="F31" s="25"/>
      <c r="G31" s="112" t="s">
        <v>443</v>
      </c>
      <c r="H31" s="112">
        <v>8.33</v>
      </c>
      <c r="I31" s="112">
        <v>5</v>
      </c>
      <c r="J31" s="110">
        <v>1</v>
      </c>
      <c r="K31" s="110">
        <v>1</v>
      </c>
      <c r="L31" s="110">
        <f t="shared" si="0"/>
        <v>41.65</v>
      </c>
      <c r="M31" s="111"/>
      <c r="N31" s="111"/>
    </row>
    <row r="32" spans="2:14" ht="15.75">
      <c r="B32" s="106">
        <v>30</v>
      </c>
      <c r="C32" s="107">
        <v>1</v>
      </c>
      <c r="D32" s="108"/>
      <c r="E32" s="25"/>
      <c r="F32" s="25"/>
      <c r="G32" s="112" t="s">
        <v>444</v>
      </c>
      <c r="H32" s="112">
        <v>1.1100000000000001</v>
      </c>
      <c r="I32" s="110">
        <v>50</v>
      </c>
      <c r="J32" s="110">
        <v>1</v>
      </c>
      <c r="K32" s="110">
        <v>1</v>
      </c>
      <c r="L32" s="110">
        <f t="shared" si="0"/>
        <v>55.500000000000007</v>
      </c>
      <c r="M32" s="111"/>
      <c r="N32" s="111"/>
    </row>
    <row r="33" spans="2:14" ht="15.75">
      <c r="B33" s="106">
        <v>31</v>
      </c>
      <c r="C33" s="107">
        <v>1</v>
      </c>
      <c r="D33" s="108"/>
      <c r="E33" s="25"/>
      <c r="F33" s="25"/>
      <c r="G33" s="112" t="s">
        <v>487</v>
      </c>
      <c r="H33" s="112">
        <v>0.06</v>
      </c>
      <c r="I33" s="110">
        <v>100</v>
      </c>
      <c r="J33" s="110">
        <v>1</v>
      </c>
      <c r="K33" s="110">
        <v>1</v>
      </c>
      <c r="L33" s="110">
        <f t="shared" si="0"/>
        <v>6</v>
      </c>
      <c r="M33" s="111"/>
      <c r="N33" s="111"/>
    </row>
    <row r="34" spans="2:14" ht="15.75">
      <c r="B34" s="106">
        <v>32</v>
      </c>
      <c r="C34" s="107">
        <v>1</v>
      </c>
      <c r="D34" s="108"/>
      <c r="E34" s="25"/>
      <c r="F34" s="25"/>
      <c r="G34" s="112" t="s">
        <v>488</v>
      </c>
      <c r="H34" s="112">
        <v>305.56</v>
      </c>
      <c r="I34" s="110">
        <v>1</v>
      </c>
      <c r="J34" s="110">
        <v>1</v>
      </c>
      <c r="K34" s="110">
        <v>1</v>
      </c>
      <c r="L34" s="110">
        <f t="shared" si="0"/>
        <v>305.56</v>
      </c>
      <c r="M34" s="111"/>
      <c r="N34" s="111"/>
    </row>
    <row r="35" spans="2:14" ht="15.75">
      <c r="B35" s="106">
        <v>33</v>
      </c>
      <c r="C35" s="107">
        <v>1</v>
      </c>
      <c r="D35" s="108"/>
      <c r="E35" s="25"/>
      <c r="F35" s="25"/>
      <c r="G35" s="110" t="s">
        <v>447</v>
      </c>
      <c r="H35" s="112">
        <v>1.19</v>
      </c>
      <c r="I35" s="110">
        <v>10</v>
      </c>
      <c r="J35" s="110">
        <v>1</v>
      </c>
      <c r="K35" s="110">
        <v>5</v>
      </c>
      <c r="L35" s="110">
        <f t="shared" si="0"/>
        <v>59.499999999999993</v>
      </c>
      <c r="M35" s="111"/>
      <c r="N35" s="111"/>
    </row>
    <row r="36" spans="2:14" ht="15.75">
      <c r="B36" s="106">
        <v>34</v>
      </c>
      <c r="C36" s="107">
        <v>1</v>
      </c>
      <c r="D36" s="108"/>
      <c r="E36" s="25"/>
      <c r="F36" s="25"/>
      <c r="G36" s="112" t="s">
        <v>446</v>
      </c>
      <c r="H36" s="112">
        <v>16.670000000000002</v>
      </c>
      <c r="I36" s="112">
        <v>2</v>
      </c>
      <c r="J36" s="112">
        <v>1</v>
      </c>
      <c r="K36" s="112">
        <v>1</v>
      </c>
      <c r="L36" s="110">
        <f>H36*I36*J36*K36</f>
        <v>33.340000000000003</v>
      </c>
      <c r="M36" s="111"/>
      <c r="N36" s="111"/>
    </row>
    <row r="37" spans="2:14" s="138" customFormat="1" ht="102">
      <c r="B37" s="126">
        <v>35</v>
      </c>
      <c r="C37" s="127">
        <v>2</v>
      </c>
      <c r="D37" s="135" t="s">
        <v>264</v>
      </c>
      <c r="E37" s="129" t="s">
        <v>672</v>
      </c>
      <c r="F37" s="136" t="s">
        <v>673</v>
      </c>
      <c r="G37" s="131" t="s">
        <v>544</v>
      </c>
      <c r="H37" s="137" t="s">
        <v>671</v>
      </c>
      <c r="I37" s="131"/>
      <c r="J37" s="131"/>
      <c r="K37" s="131"/>
      <c r="L37" s="131">
        <f>SUM(L38:L65)</f>
        <v>6177.64</v>
      </c>
      <c r="M37" s="133">
        <v>25887.5</v>
      </c>
      <c r="N37" s="134">
        <v>15532.5</v>
      </c>
    </row>
    <row r="38" spans="2:14" ht="15.75">
      <c r="B38" s="106">
        <v>36</v>
      </c>
      <c r="C38" s="107">
        <v>2</v>
      </c>
      <c r="D38" s="108"/>
      <c r="E38" s="25"/>
      <c r="F38" s="25"/>
      <c r="G38" s="110" t="s">
        <v>452</v>
      </c>
      <c r="H38" s="112" t="s">
        <v>671</v>
      </c>
      <c r="I38" s="110"/>
      <c r="J38" s="110"/>
      <c r="K38" s="110"/>
      <c r="L38" s="110" t="s">
        <v>670</v>
      </c>
      <c r="M38" s="111"/>
      <c r="N38" s="111"/>
    </row>
    <row r="39" spans="2:14" ht="15.75">
      <c r="B39" s="106">
        <v>37</v>
      </c>
      <c r="C39" s="107">
        <v>2</v>
      </c>
      <c r="D39" s="108"/>
      <c r="E39" s="25"/>
      <c r="F39" s="25"/>
      <c r="G39" s="112" t="s">
        <v>1026</v>
      </c>
      <c r="H39" s="112">
        <v>1500</v>
      </c>
      <c r="I39" s="110">
        <v>1</v>
      </c>
      <c r="J39" s="110">
        <v>1</v>
      </c>
      <c r="K39" s="110">
        <v>1</v>
      </c>
      <c r="L39" s="110">
        <f t="shared" ref="L39:L64" si="1">H39*I39*J39*K39</f>
        <v>1500</v>
      </c>
      <c r="M39" s="111"/>
      <c r="N39" s="111"/>
    </row>
    <row r="40" spans="2:14" ht="15.75">
      <c r="B40" s="106">
        <v>38</v>
      </c>
      <c r="C40" s="107">
        <v>2</v>
      </c>
      <c r="D40" s="108"/>
      <c r="E40" s="25"/>
      <c r="F40" s="25"/>
      <c r="G40" s="112" t="s">
        <v>429</v>
      </c>
      <c r="H40" s="112">
        <v>4</v>
      </c>
      <c r="I40" s="110">
        <v>10</v>
      </c>
      <c r="J40" s="110">
        <v>1</v>
      </c>
      <c r="K40" s="110">
        <v>10</v>
      </c>
      <c r="L40" s="110">
        <f t="shared" si="1"/>
        <v>400</v>
      </c>
      <c r="M40" s="111"/>
      <c r="N40" s="111"/>
    </row>
    <row r="41" spans="2:14" ht="15.75">
      <c r="B41" s="106">
        <v>39</v>
      </c>
      <c r="C41" s="107">
        <v>2</v>
      </c>
      <c r="D41" s="108"/>
      <c r="E41" s="25"/>
      <c r="F41" s="25"/>
      <c r="G41" s="112" t="s">
        <v>430</v>
      </c>
      <c r="H41" s="112">
        <v>8</v>
      </c>
      <c r="I41" s="110">
        <v>10</v>
      </c>
      <c r="J41" s="110">
        <v>1</v>
      </c>
      <c r="K41" s="110">
        <v>10</v>
      </c>
      <c r="L41" s="110">
        <f t="shared" si="1"/>
        <v>800</v>
      </c>
      <c r="M41" s="111"/>
      <c r="N41" s="111"/>
    </row>
    <row r="42" spans="2:14" ht="24">
      <c r="B42" s="106">
        <v>40</v>
      </c>
      <c r="C42" s="107">
        <v>2</v>
      </c>
      <c r="D42" s="108"/>
      <c r="E42" s="25"/>
      <c r="F42" s="25"/>
      <c r="G42" s="112" t="s">
        <v>431</v>
      </c>
      <c r="H42" s="112">
        <v>10</v>
      </c>
      <c r="I42" s="110">
        <v>10</v>
      </c>
      <c r="J42" s="110">
        <v>1</v>
      </c>
      <c r="K42" s="110">
        <v>10</v>
      </c>
      <c r="L42" s="110">
        <f t="shared" si="1"/>
        <v>1000</v>
      </c>
      <c r="M42" s="111"/>
      <c r="N42" s="111"/>
    </row>
    <row r="43" spans="2:14" ht="15.75">
      <c r="B43" s="106">
        <v>41</v>
      </c>
      <c r="C43" s="107">
        <v>2</v>
      </c>
      <c r="D43" s="108"/>
      <c r="E43" s="25"/>
      <c r="F43" s="25"/>
      <c r="G43" s="112" t="s">
        <v>432</v>
      </c>
      <c r="H43" s="112">
        <v>8</v>
      </c>
      <c r="I43" s="110">
        <v>1</v>
      </c>
      <c r="J43" s="110">
        <v>1</v>
      </c>
      <c r="K43" s="110">
        <v>10</v>
      </c>
      <c r="L43" s="110">
        <f t="shared" si="1"/>
        <v>80</v>
      </c>
      <c r="M43" s="111"/>
      <c r="N43" s="111"/>
    </row>
    <row r="44" spans="2:14" ht="15.75">
      <c r="B44" s="106">
        <v>42</v>
      </c>
      <c r="C44" s="107">
        <v>2</v>
      </c>
      <c r="D44" s="108"/>
      <c r="E44" s="25"/>
      <c r="F44" s="25"/>
      <c r="G44" s="112" t="s">
        <v>433</v>
      </c>
      <c r="H44" s="112">
        <v>10</v>
      </c>
      <c r="I44" s="110">
        <v>1</v>
      </c>
      <c r="J44" s="110">
        <v>1</v>
      </c>
      <c r="K44" s="110">
        <v>10</v>
      </c>
      <c r="L44" s="110">
        <f t="shared" si="1"/>
        <v>100</v>
      </c>
      <c r="M44" s="111"/>
      <c r="N44" s="111"/>
    </row>
    <row r="45" spans="2:14" ht="15.75">
      <c r="B45" s="106">
        <v>43</v>
      </c>
      <c r="C45" s="107">
        <v>2</v>
      </c>
      <c r="D45" s="108"/>
      <c r="E45" s="25"/>
      <c r="F45" s="25"/>
      <c r="G45" s="112" t="s">
        <v>434</v>
      </c>
      <c r="H45" s="112">
        <v>10</v>
      </c>
      <c r="I45" s="110">
        <v>10</v>
      </c>
      <c r="J45" s="110">
        <v>1</v>
      </c>
      <c r="K45" s="110">
        <v>1</v>
      </c>
      <c r="L45" s="110">
        <f t="shared" si="1"/>
        <v>100</v>
      </c>
      <c r="M45" s="111"/>
      <c r="N45" s="111"/>
    </row>
    <row r="46" spans="2:14" ht="15.75">
      <c r="B46" s="106">
        <v>44</v>
      </c>
      <c r="C46" s="107">
        <v>2</v>
      </c>
      <c r="D46" s="108"/>
      <c r="E46" s="25"/>
      <c r="F46" s="25"/>
      <c r="G46" s="112" t="s">
        <v>435</v>
      </c>
      <c r="H46" s="112">
        <v>70</v>
      </c>
      <c r="I46" s="110">
        <v>1</v>
      </c>
      <c r="J46" s="110">
        <v>1</v>
      </c>
      <c r="K46" s="110">
        <v>10</v>
      </c>
      <c r="L46" s="110">
        <f t="shared" si="1"/>
        <v>700</v>
      </c>
      <c r="M46" s="111"/>
      <c r="N46" s="111"/>
    </row>
    <row r="47" spans="2:14" ht="15.75">
      <c r="B47" s="106">
        <v>45</v>
      </c>
      <c r="C47" s="107">
        <v>2</v>
      </c>
      <c r="D47" s="108"/>
      <c r="E47" s="25"/>
      <c r="F47" s="25"/>
      <c r="G47" s="112" t="s">
        <v>436</v>
      </c>
      <c r="H47" s="112">
        <v>0.88</v>
      </c>
      <c r="I47" s="110">
        <v>1</v>
      </c>
      <c r="J47" s="110">
        <v>1</v>
      </c>
      <c r="K47" s="110">
        <v>1</v>
      </c>
      <c r="L47" s="110">
        <f t="shared" si="1"/>
        <v>0.88</v>
      </c>
      <c r="M47" s="111"/>
      <c r="N47" s="111"/>
    </row>
    <row r="48" spans="2:14" ht="15.75">
      <c r="B48" s="106">
        <v>46</v>
      </c>
      <c r="C48" s="107">
        <v>2</v>
      </c>
      <c r="D48" s="108"/>
      <c r="E48" s="25"/>
      <c r="F48" s="25"/>
      <c r="G48" s="112" t="s">
        <v>437</v>
      </c>
      <c r="H48" s="112">
        <v>23.48</v>
      </c>
      <c r="I48" s="110">
        <v>1</v>
      </c>
      <c r="J48" s="110">
        <v>1</v>
      </c>
      <c r="K48" s="110">
        <v>1</v>
      </c>
      <c r="L48" s="110">
        <f>H48*I48*J48*K48</f>
        <v>23.48</v>
      </c>
      <c r="M48" s="111"/>
      <c r="N48" s="111"/>
    </row>
    <row r="49" spans="2:14" ht="15.75">
      <c r="B49" s="106">
        <v>47</v>
      </c>
      <c r="C49" s="107">
        <v>2</v>
      </c>
      <c r="D49" s="108"/>
      <c r="E49" s="25"/>
      <c r="F49" s="25"/>
      <c r="G49" s="112" t="s">
        <v>438</v>
      </c>
      <c r="H49" s="112">
        <v>0.59</v>
      </c>
      <c r="I49" s="110">
        <v>1</v>
      </c>
      <c r="J49" s="110">
        <v>1</v>
      </c>
      <c r="K49" s="110">
        <v>1</v>
      </c>
      <c r="L49" s="110">
        <f t="shared" si="1"/>
        <v>0.59</v>
      </c>
      <c r="M49" s="111"/>
      <c r="N49" s="111"/>
    </row>
    <row r="50" spans="2:14" ht="15.75">
      <c r="B50" s="106">
        <v>48</v>
      </c>
      <c r="C50" s="107">
        <v>2</v>
      </c>
      <c r="D50" s="108"/>
      <c r="E50" s="25"/>
      <c r="F50" s="25"/>
      <c r="G50" s="110" t="s">
        <v>441</v>
      </c>
      <c r="H50" s="112" t="s">
        <v>671</v>
      </c>
      <c r="I50" s="110"/>
      <c r="J50" s="110"/>
      <c r="K50" s="110"/>
      <c r="L50" s="110"/>
      <c r="M50" s="111"/>
      <c r="N50" s="111"/>
    </row>
    <row r="51" spans="2:14" ht="15.75">
      <c r="B51" s="106">
        <v>49</v>
      </c>
      <c r="C51" s="107">
        <v>2</v>
      </c>
      <c r="D51" s="108"/>
      <c r="E51" s="25"/>
      <c r="F51" s="25"/>
      <c r="G51" s="112" t="s">
        <v>442</v>
      </c>
      <c r="H51" s="112">
        <v>6</v>
      </c>
      <c r="I51" s="110">
        <v>35</v>
      </c>
      <c r="J51" s="110">
        <v>1</v>
      </c>
      <c r="K51" s="110">
        <v>1</v>
      </c>
      <c r="L51" s="110">
        <f t="shared" si="1"/>
        <v>210</v>
      </c>
      <c r="M51" s="111"/>
      <c r="N51" s="111"/>
    </row>
    <row r="52" spans="2:14" ht="15.75">
      <c r="B52" s="106">
        <v>50</v>
      </c>
      <c r="C52" s="107">
        <v>2</v>
      </c>
      <c r="D52" s="108"/>
      <c r="E52" s="25"/>
      <c r="F52" s="25"/>
      <c r="G52" s="112" t="s">
        <v>454</v>
      </c>
      <c r="H52" s="112" t="s">
        <v>671</v>
      </c>
      <c r="I52" s="110"/>
      <c r="J52" s="110"/>
      <c r="K52" s="110"/>
      <c r="L52" s="110"/>
      <c r="M52" s="111"/>
      <c r="N52" s="111"/>
    </row>
    <row r="53" spans="2:14" ht="15.75">
      <c r="B53" s="106">
        <v>51</v>
      </c>
      <c r="C53" s="107">
        <v>2</v>
      </c>
      <c r="D53" s="108"/>
      <c r="E53" s="25"/>
      <c r="F53" s="25"/>
      <c r="G53" s="112" t="s">
        <v>455</v>
      </c>
      <c r="H53" s="112">
        <v>260</v>
      </c>
      <c r="I53" s="110">
        <v>1</v>
      </c>
      <c r="J53" s="110">
        <v>1</v>
      </c>
      <c r="K53" s="110">
        <v>1</v>
      </c>
      <c r="L53" s="110">
        <f t="shared" si="1"/>
        <v>260</v>
      </c>
      <c r="M53" s="111"/>
      <c r="N53" s="111"/>
    </row>
    <row r="54" spans="2:14" ht="15.75">
      <c r="B54" s="106">
        <v>52</v>
      </c>
      <c r="C54" s="107">
        <v>2</v>
      </c>
      <c r="D54" s="108"/>
      <c r="E54" s="25"/>
      <c r="F54" s="25"/>
      <c r="G54" s="112" t="s">
        <v>435</v>
      </c>
      <c r="H54" s="112">
        <v>70</v>
      </c>
      <c r="I54" s="110">
        <v>1</v>
      </c>
      <c r="J54" s="110">
        <v>1</v>
      </c>
      <c r="K54" s="110">
        <v>1</v>
      </c>
      <c r="L54" s="110">
        <f t="shared" si="1"/>
        <v>70</v>
      </c>
      <c r="M54" s="111"/>
      <c r="N54" s="111"/>
    </row>
    <row r="55" spans="2:14" ht="15.75">
      <c r="B55" s="106">
        <v>53</v>
      </c>
      <c r="C55" s="107">
        <v>2</v>
      </c>
      <c r="D55" s="108"/>
      <c r="E55" s="25"/>
      <c r="F55" s="25"/>
      <c r="G55" s="112" t="s">
        <v>443</v>
      </c>
      <c r="H55" s="112">
        <v>8.33</v>
      </c>
      <c r="I55" s="112">
        <v>4</v>
      </c>
      <c r="J55" s="110">
        <v>1</v>
      </c>
      <c r="K55" s="110">
        <v>1</v>
      </c>
      <c r="L55" s="110">
        <f t="shared" si="1"/>
        <v>33.32</v>
      </c>
      <c r="M55" s="111"/>
      <c r="N55" s="111"/>
    </row>
    <row r="56" spans="2:14" ht="15.75">
      <c r="B56" s="106">
        <v>54</v>
      </c>
      <c r="C56" s="107">
        <v>2</v>
      </c>
      <c r="D56" s="108"/>
      <c r="E56" s="25"/>
      <c r="F56" s="25"/>
      <c r="G56" s="112" t="s">
        <v>444</v>
      </c>
      <c r="H56" s="112">
        <v>1.1100000000000001</v>
      </c>
      <c r="I56" s="110">
        <v>35</v>
      </c>
      <c r="J56" s="110">
        <v>1</v>
      </c>
      <c r="K56" s="110">
        <v>1</v>
      </c>
      <c r="L56" s="110">
        <f t="shared" si="1"/>
        <v>38.85</v>
      </c>
      <c r="M56" s="111"/>
      <c r="N56" s="111"/>
    </row>
    <row r="57" spans="2:14" ht="15.75">
      <c r="B57" s="106">
        <v>55</v>
      </c>
      <c r="C57" s="107">
        <v>2</v>
      </c>
      <c r="D57" s="108"/>
      <c r="E57" s="25"/>
      <c r="F57" s="25"/>
      <c r="G57" s="112" t="s">
        <v>456</v>
      </c>
      <c r="H57" s="112">
        <v>0.56000000000000005</v>
      </c>
      <c r="I57" s="110">
        <v>70</v>
      </c>
      <c r="J57" s="110">
        <v>1</v>
      </c>
      <c r="K57" s="110">
        <v>1</v>
      </c>
      <c r="L57" s="110">
        <f t="shared" si="1"/>
        <v>39.200000000000003</v>
      </c>
      <c r="M57" s="111"/>
      <c r="N57" s="111"/>
    </row>
    <row r="58" spans="2:14" ht="15.75">
      <c r="B58" s="106">
        <v>56</v>
      </c>
      <c r="C58" s="107">
        <v>2</v>
      </c>
      <c r="D58" s="108"/>
      <c r="E58" s="25"/>
      <c r="F58" s="25"/>
      <c r="G58" s="112" t="s">
        <v>457</v>
      </c>
      <c r="H58" s="112">
        <v>167</v>
      </c>
      <c r="I58" s="110">
        <v>1</v>
      </c>
      <c r="J58" s="110">
        <v>1</v>
      </c>
      <c r="K58" s="110">
        <v>1</v>
      </c>
      <c r="L58" s="110">
        <f t="shared" si="1"/>
        <v>167</v>
      </c>
      <c r="M58" s="111"/>
      <c r="N58" s="111"/>
    </row>
    <row r="59" spans="2:14" ht="24">
      <c r="B59" s="106">
        <v>57</v>
      </c>
      <c r="C59" s="107">
        <v>2</v>
      </c>
      <c r="D59" s="108"/>
      <c r="E59" s="25"/>
      <c r="F59" s="25"/>
      <c r="G59" s="110" t="s">
        <v>545</v>
      </c>
      <c r="H59" s="112" t="s">
        <v>671</v>
      </c>
      <c r="I59" s="110"/>
      <c r="J59" s="110"/>
      <c r="K59" s="110"/>
      <c r="L59" s="110"/>
      <c r="M59" s="111"/>
      <c r="N59" s="111"/>
    </row>
    <row r="60" spans="2:14" ht="15.75">
      <c r="B60" s="106">
        <v>58</v>
      </c>
      <c r="C60" s="107">
        <v>2</v>
      </c>
      <c r="D60" s="108"/>
      <c r="E60" s="25"/>
      <c r="F60" s="25"/>
      <c r="G60" s="112" t="s">
        <v>443</v>
      </c>
      <c r="H60" s="112">
        <v>8.33</v>
      </c>
      <c r="I60" s="112">
        <v>4</v>
      </c>
      <c r="J60" s="110">
        <v>1</v>
      </c>
      <c r="K60" s="110">
        <v>1</v>
      </c>
      <c r="L60" s="110">
        <f t="shared" si="1"/>
        <v>33.32</v>
      </c>
      <c r="M60" s="111"/>
      <c r="N60" s="111"/>
    </row>
    <row r="61" spans="2:14" ht="15.75">
      <c r="B61" s="106">
        <v>59</v>
      </c>
      <c r="C61" s="107">
        <v>2</v>
      </c>
      <c r="D61" s="108"/>
      <c r="E61" s="25"/>
      <c r="F61" s="25"/>
      <c r="G61" s="112" t="s">
        <v>444</v>
      </c>
      <c r="H61" s="112">
        <v>1.1100000000000001</v>
      </c>
      <c r="I61" s="110">
        <v>70</v>
      </c>
      <c r="J61" s="110">
        <v>1</v>
      </c>
      <c r="K61" s="110">
        <v>1</v>
      </c>
      <c r="L61" s="110">
        <f t="shared" si="1"/>
        <v>77.7</v>
      </c>
      <c r="M61" s="111"/>
      <c r="N61" s="111"/>
    </row>
    <row r="62" spans="2:14" ht="15.75">
      <c r="B62" s="106">
        <v>60</v>
      </c>
      <c r="C62" s="107">
        <v>2</v>
      </c>
      <c r="D62" s="108"/>
      <c r="E62" s="25"/>
      <c r="F62" s="25"/>
      <c r="G62" s="112" t="s">
        <v>456</v>
      </c>
      <c r="H62" s="112">
        <v>0.56000000000000005</v>
      </c>
      <c r="I62" s="110">
        <v>110</v>
      </c>
      <c r="J62" s="110">
        <v>1</v>
      </c>
      <c r="K62" s="110">
        <v>1</v>
      </c>
      <c r="L62" s="110">
        <f t="shared" si="1"/>
        <v>61.600000000000009</v>
      </c>
      <c r="M62" s="111"/>
      <c r="N62" s="111"/>
    </row>
    <row r="63" spans="2:14" ht="15.75">
      <c r="B63" s="106">
        <v>61</v>
      </c>
      <c r="C63" s="107">
        <v>2</v>
      </c>
      <c r="D63" s="108"/>
      <c r="E63" s="25"/>
      <c r="F63" s="25"/>
      <c r="G63" s="112" t="s">
        <v>458</v>
      </c>
      <c r="H63" s="112">
        <v>305.56</v>
      </c>
      <c r="I63" s="110">
        <v>1</v>
      </c>
      <c r="J63" s="110">
        <v>1</v>
      </c>
      <c r="K63" s="110">
        <v>1</v>
      </c>
      <c r="L63" s="110">
        <f t="shared" si="1"/>
        <v>305.56</v>
      </c>
      <c r="M63" s="111"/>
      <c r="N63" s="111"/>
    </row>
    <row r="64" spans="2:14" ht="15.75">
      <c r="B64" s="106">
        <v>62</v>
      </c>
      <c r="C64" s="107">
        <v>2</v>
      </c>
      <c r="D64" s="108"/>
      <c r="E64" s="25"/>
      <c r="F64" s="25"/>
      <c r="G64" s="110" t="s">
        <v>447</v>
      </c>
      <c r="H64" s="112">
        <v>1.19</v>
      </c>
      <c r="I64" s="110">
        <v>10</v>
      </c>
      <c r="J64" s="110">
        <v>1</v>
      </c>
      <c r="K64" s="110">
        <v>12</v>
      </c>
      <c r="L64" s="110">
        <f t="shared" si="1"/>
        <v>142.79999999999998</v>
      </c>
      <c r="M64" s="111"/>
      <c r="N64" s="111"/>
    </row>
    <row r="65" spans="2:14" ht="15.75">
      <c r="B65" s="106">
        <v>63</v>
      </c>
      <c r="C65" s="107">
        <v>2</v>
      </c>
      <c r="D65" s="108"/>
      <c r="E65" s="25"/>
      <c r="F65" s="25"/>
      <c r="G65" s="110" t="s">
        <v>459</v>
      </c>
      <c r="H65" s="112">
        <v>16.670000000000002</v>
      </c>
      <c r="I65" s="110">
        <v>2</v>
      </c>
      <c r="J65" s="110">
        <v>1</v>
      </c>
      <c r="K65" s="110">
        <v>1</v>
      </c>
      <c r="L65" s="110">
        <f>H65*I65*J65*K65</f>
        <v>33.340000000000003</v>
      </c>
      <c r="M65" s="111"/>
      <c r="N65" s="111"/>
    </row>
    <row r="66" spans="2:14" s="138" customFormat="1" ht="36">
      <c r="B66" s="126">
        <v>64</v>
      </c>
      <c r="C66" s="127">
        <v>3</v>
      </c>
      <c r="D66" s="135" t="s">
        <v>262</v>
      </c>
      <c r="E66" s="129" t="s">
        <v>674</v>
      </c>
      <c r="F66" s="136" t="s">
        <v>675</v>
      </c>
      <c r="G66" s="131" t="s">
        <v>546</v>
      </c>
      <c r="H66" s="137" t="s">
        <v>671</v>
      </c>
      <c r="I66" s="131"/>
      <c r="J66" s="131"/>
      <c r="K66" s="131"/>
      <c r="L66" s="131">
        <f>SUM(L67:L94)</f>
        <v>3315.83</v>
      </c>
      <c r="M66" s="133">
        <v>6631.67</v>
      </c>
      <c r="N66" s="134">
        <v>3315.83</v>
      </c>
    </row>
    <row r="67" spans="2:14" ht="15.75">
      <c r="B67" s="106">
        <v>65</v>
      </c>
      <c r="C67" s="107">
        <v>3</v>
      </c>
      <c r="D67" s="108"/>
      <c r="E67" s="25"/>
      <c r="F67" s="25"/>
      <c r="G67" s="110" t="s">
        <v>452</v>
      </c>
      <c r="H67" s="112" t="s">
        <v>671</v>
      </c>
      <c r="I67" s="110">
        <v>0</v>
      </c>
      <c r="J67" s="110"/>
      <c r="K67" s="110"/>
      <c r="L67" s="110"/>
      <c r="M67" s="111"/>
      <c r="N67" s="111"/>
    </row>
    <row r="68" spans="2:14" ht="15.75">
      <c r="B68" s="106">
        <v>66</v>
      </c>
      <c r="C68" s="107">
        <v>3</v>
      </c>
      <c r="D68" s="108"/>
      <c r="E68" s="25"/>
      <c r="F68" s="25"/>
      <c r="G68" s="112" t="s">
        <v>453</v>
      </c>
      <c r="H68" s="112">
        <v>25</v>
      </c>
      <c r="I68" s="110">
        <v>2</v>
      </c>
      <c r="J68" s="110">
        <v>1</v>
      </c>
      <c r="K68" s="110">
        <v>5</v>
      </c>
      <c r="L68" s="110">
        <f t="shared" ref="L68:L94" si="2">H68*I68*J68*K68</f>
        <v>250</v>
      </c>
      <c r="M68" s="111"/>
      <c r="N68" s="111"/>
    </row>
    <row r="69" spans="2:14" ht="15.75">
      <c r="B69" s="106">
        <v>67</v>
      </c>
      <c r="C69" s="107">
        <v>3</v>
      </c>
      <c r="D69" s="108"/>
      <c r="E69" s="25"/>
      <c r="F69" s="25"/>
      <c r="G69" s="112" t="s">
        <v>429</v>
      </c>
      <c r="H69" s="112">
        <v>4</v>
      </c>
      <c r="I69" s="110">
        <v>10</v>
      </c>
      <c r="J69" s="110">
        <v>1</v>
      </c>
      <c r="K69" s="110">
        <v>5</v>
      </c>
      <c r="L69" s="110">
        <f t="shared" si="2"/>
        <v>200</v>
      </c>
      <c r="M69" s="111"/>
      <c r="N69" s="111"/>
    </row>
    <row r="70" spans="2:14" ht="15.75">
      <c r="B70" s="106">
        <v>68</v>
      </c>
      <c r="C70" s="107">
        <v>3</v>
      </c>
      <c r="D70" s="108"/>
      <c r="E70" s="25"/>
      <c r="F70" s="25"/>
      <c r="G70" s="112" t="s">
        <v>430</v>
      </c>
      <c r="H70" s="112">
        <v>8</v>
      </c>
      <c r="I70" s="110">
        <v>10</v>
      </c>
      <c r="J70" s="110">
        <v>1</v>
      </c>
      <c r="K70" s="110">
        <v>5</v>
      </c>
      <c r="L70" s="110">
        <f t="shared" si="2"/>
        <v>400</v>
      </c>
      <c r="M70" s="111"/>
      <c r="N70" s="111"/>
    </row>
    <row r="71" spans="2:14" ht="24">
      <c r="B71" s="106">
        <v>69</v>
      </c>
      <c r="C71" s="107">
        <v>3</v>
      </c>
      <c r="D71" s="108"/>
      <c r="E71" s="25"/>
      <c r="F71" s="25"/>
      <c r="G71" s="112" t="s">
        <v>431</v>
      </c>
      <c r="H71" s="112">
        <v>10</v>
      </c>
      <c r="I71" s="110">
        <v>10</v>
      </c>
      <c r="J71" s="110">
        <v>1</v>
      </c>
      <c r="K71" s="110">
        <v>5</v>
      </c>
      <c r="L71" s="110">
        <f t="shared" si="2"/>
        <v>500</v>
      </c>
      <c r="M71" s="111"/>
      <c r="N71" s="111"/>
    </row>
    <row r="72" spans="2:14" ht="15.75">
      <c r="B72" s="106">
        <v>70</v>
      </c>
      <c r="C72" s="107">
        <v>3</v>
      </c>
      <c r="D72" s="108"/>
      <c r="E72" s="25"/>
      <c r="F72" s="25"/>
      <c r="G72" s="112" t="s">
        <v>432</v>
      </c>
      <c r="H72" s="112">
        <v>8</v>
      </c>
      <c r="I72" s="110">
        <v>1</v>
      </c>
      <c r="J72" s="110">
        <v>1</v>
      </c>
      <c r="K72" s="110">
        <v>5</v>
      </c>
      <c r="L72" s="110">
        <f t="shared" si="2"/>
        <v>40</v>
      </c>
      <c r="M72" s="111"/>
      <c r="N72" s="111"/>
    </row>
    <row r="73" spans="2:14" ht="15.75">
      <c r="B73" s="106">
        <v>71</v>
      </c>
      <c r="C73" s="107">
        <v>3</v>
      </c>
      <c r="D73" s="108"/>
      <c r="E73" s="25"/>
      <c r="F73" s="25"/>
      <c r="G73" s="112" t="s">
        <v>433</v>
      </c>
      <c r="H73" s="112">
        <v>10</v>
      </c>
      <c r="I73" s="110">
        <v>1</v>
      </c>
      <c r="J73" s="110">
        <v>1</v>
      </c>
      <c r="K73" s="110">
        <v>5</v>
      </c>
      <c r="L73" s="110">
        <f t="shared" si="2"/>
        <v>50</v>
      </c>
      <c r="M73" s="111"/>
      <c r="N73" s="111"/>
    </row>
    <row r="74" spans="2:14" ht="15.75">
      <c r="B74" s="106">
        <v>72</v>
      </c>
      <c r="C74" s="107">
        <v>3</v>
      </c>
      <c r="D74" s="108"/>
      <c r="E74" s="25"/>
      <c r="F74" s="25"/>
      <c r="G74" s="112" t="s">
        <v>434</v>
      </c>
      <c r="H74" s="112">
        <v>10</v>
      </c>
      <c r="I74" s="110">
        <v>10</v>
      </c>
      <c r="J74" s="110">
        <v>1</v>
      </c>
      <c r="K74" s="110">
        <v>1</v>
      </c>
      <c r="L74" s="110">
        <f t="shared" si="2"/>
        <v>100</v>
      </c>
      <c r="M74" s="111"/>
      <c r="N74" s="111"/>
    </row>
    <row r="75" spans="2:14" ht="15.75">
      <c r="B75" s="106">
        <v>73</v>
      </c>
      <c r="C75" s="107">
        <v>3</v>
      </c>
      <c r="D75" s="108"/>
      <c r="E75" s="25"/>
      <c r="F75" s="25"/>
      <c r="G75" s="112" t="s">
        <v>435</v>
      </c>
      <c r="H75" s="112">
        <v>70</v>
      </c>
      <c r="I75" s="110">
        <v>1</v>
      </c>
      <c r="J75" s="110">
        <v>1</v>
      </c>
      <c r="K75" s="110">
        <v>5</v>
      </c>
      <c r="L75" s="110">
        <f t="shared" si="2"/>
        <v>350</v>
      </c>
      <c r="M75" s="111"/>
      <c r="N75" s="111"/>
    </row>
    <row r="76" spans="2:14" ht="15.75">
      <c r="B76" s="106">
        <v>74</v>
      </c>
      <c r="C76" s="107">
        <v>3</v>
      </c>
      <c r="D76" s="108"/>
      <c r="E76" s="25"/>
      <c r="F76" s="25"/>
      <c r="G76" s="112" t="s">
        <v>436</v>
      </c>
      <c r="H76" s="112">
        <v>0.88</v>
      </c>
      <c r="I76" s="110">
        <v>1</v>
      </c>
      <c r="J76" s="110">
        <v>1</v>
      </c>
      <c r="K76" s="110">
        <v>1</v>
      </c>
      <c r="L76" s="110">
        <f t="shared" si="2"/>
        <v>0.88</v>
      </c>
      <c r="M76" s="111"/>
      <c r="N76" s="111"/>
    </row>
    <row r="77" spans="2:14" ht="15.75">
      <c r="B77" s="106">
        <v>75</v>
      </c>
      <c r="C77" s="107">
        <v>3</v>
      </c>
      <c r="D77" s="108"/>
      <c r="E77" s="25"/>
      <c r="F77" s="25"/>
      <c r="G77" s="112" t="s">
        <v>437</v>
      </c>
      <c r="H77" s="112">
        <f>22.48+0.59</f>
        <v>23.07</v>
      </c>
      <c r="I77" s="110">
        <v>1</v>
      </c>
      <c r="J77" s="110">
        <v>1</v>
      </c>
      <c r="K77" s="110">
        <v>1</v>
      </c>
      <c r="L77" s="110">
        <f t="shared" si="2"/>
        <v>23.07</v>
      </c>
      <c r="M77" s="111"/>
      <c r="N77" s="111"/>
    </row>
    <row r="78" spans="2:14" ht="15.75">
      <c r="B78" s="106">
        <v>76</v>
      </c>
      <c r="C78" s="107">
        <v>3</v>
      </c>
      <c r="D78" s="108"/>
      <c r="E78" s="25"/>
      <c r="F78" s="25"/>
      <c r="G78" s="112" t="s">
        <v>438</v>
      </c>
      <c r="H78" s="112">
        <v>0.59</v>
      </c>
      <c r="I78" s="110">
        <v>1</v>
      </c>
      <c r="J78" s="110">
        <v>1</v>
      </c>
      <c r="K78" s="110">
        <v>1</v>
      </c>
      <c r="L78" s="110">
        <f t="shared" si="2"/>
        <v>0.59</v>
      </c>
      <c r="M78" s="111"/>
      <c r="N78" s="111"/>
    </row>
    <row r="79" spans="2:14" ht="15.75">
      <c r="B79" s="106">
        <v>77</v>
      </c>
      <c r="C79" s="107">
        <v>3</v>
      </c>
      <c r="D79" s="108"/>
      <c r="E79" s="25"/>
      <c r="F79" s="25"/>
      <c r="G79" s="110" t="s">
        <v>441</v>
      </c>
      <c r="H79" s="112" t="s">
        <v>671</v>
      </c>
      <c r="I79" s="110"/>
      <c r="J79" s="110"/>
      <c r="K79" s="110"/>
      <c r="L79" s="110"/>
      <c r="M79" s="111"/>
      <c r="N79" s="111"/>
    </row>
    <row r="80" spans="2:14" ht="15.75">
      <c r="B80" s="106">
        <v>78</v>
      </c>
      <c r="C80" s="107">
        <v>3</v>
      </c>
      <c r="D80" s="108"/>
      <c r="E80" s="25"/>
      <c r="F80" s="25"/>
      <c r="G80" s="112" t="s">
        <v>442</v>
      </c>
      <c r="H80" s="112">
        <v>6</v>
      </c>
      <c r="I80" s="110">
        <v>35</v>
      </c>
      <c r="J80" s="110">
        <v>1</v>
      </c>
      <c r="K80" s="110">
        <v>1</v>
      </c>
      <c r="L80" s="110">
        <f t="shared" si="2"/>
        <v>210</v>
      </c>
      <c r="M80" s="111"/>
      <c r="N80" s="111"/>
    </row>
    <row r="81" spans="2:14" ht="15.75">
      <c r="B81" s="106">
        <v>79</v>
      </c>
      <c r="C81" s="107">
        <v>3</v>
      </c>
      <c r="D81" s="108"/>
      <c r="E81" s="25"/>
      <c r="F81" s="25"/>
      <c r="G81" s="112" t="s">
        <v>454</v>
      </c>
      <c r="H81" s="112" t="s">
        <v>671</v>
      </c>
      <c r="I81" s="110"/>
      <c r="J81" s="110"/>
      <c r="K81" s="110"/>
      <c r="L81" s="110"/>
      <c r="M81" s="111"/>
      <c r="N81" s="111"/>
    </row>
    <row r="82" spans="2:14" ht="15.75">
      <c r="B82" s="106">
        <v>80</v>
      </c>
      <c r="C82" s="107">
        <v>3</v>
      </c>
      <c r="D82" s="108"/>
      <c r="E82" s="25"/>
      <c r="F82" s="25"/>
      <c r="G82" s="112" t="s">
        <v>455</v>
      </c>
      <c r="H82" s="112">
        <v>260</v>
      </c>
      <c r="I82" s="110">
        <v>1</v>
      </c>
      <c r="J82" s="110">
        <v>1</v>
      </c>
      <c r="K82" s="110">
        <v>1</v>
      </c>
      <c r="L82" s="110">
        <f t="shared" si="2"/>
        <v>260</v>
      </c>
      <c r="M82" s="111"/>
      <c r="N82" s="111"/>
    </row>
    <row r="83" spans="2:14" ht="15.75">
      <c r="B83" s="106">
        <v>81</v>
      </c>
      <c r="C83" s="107">
        <v>3</v>
      </c>
      <c r="D83" s="108"/>
      <c r="E83" s="25"/>
      <c r="F83" s="25"/>
      <c r="G83" s="112" t="s">
        <v>435</v>
      </c>
      <c r="H83" s="112">
        <v>70</v>
      </c>
      <c r="I83" s="110">
        <v>1</v>
      </c>
      <c r="J83" s="110">
        <v>1</v>
      </c>
      <c r="K83" s="110">
        <v>1</v>
      </c>
      <c r="L83" s="110">
        <f t="shared" si="2"/>
        <v>70</v>
      </c>
      <c r="M83" s="111"/>
      <c r="N83" s="111"/>
    </row>
    <row r="84" spans="2:14" ht="15.75">
      <c r="B84" s="106">
        <v>82</v>
      </c>
      <c r="C84" s="107">
        <v>3</v>
      </c>
      <c r="D84" s="108"/>
      <c r="E84" s="25"/>
      <c r="F84" s="25"/>
      <c r="G84" s="112" t="s">
        <v>443</v>
      </c>
      <c r="H84" s="112">
        <v>8.33</v>
      </c>
      <c r="I84" s="112">
        <v>4</v>
      </c>
      <c r="J84" s="110">
        <v>1</v>
      </c>
      <c r="K84" s="110">
        <v>1</v>
      </c>
      <c r="L84" s="110">
        <f t="shared" si="2"/>
        <v>33.32</v>
      </c>
      <c r="M84" s="111"/>
      <c r="N84" s="111"/>
    </row>
    <row r="85" spans="2:14" ht="15.75">
      <c r="B85" s="106">
        <v>83</v>
      </c>
      <c r="C85" s="107">
        <v>3</v>
      </c>
      <c r="D85" s="108"/>
      <c r="E85" s="25"/>
      <c r="F85" s="25"/>
      <c r="G85" s="112" t="s">
        <v>444</v>
      </c>
      <c r="H85" s="112">
        <v>1.1100000000000001</v>
      </c>
      <c r="I85" s="110">
        <v>35</v>
      </c>
      <c r="J85" s="110">
        <v>1</v>
      </c>
      <c r="K85" s="110">
        <v>1</v>
      </c>
      <c r="L85" s="110">
        <f t="shared" si="2"/>
        <v>38.85</v>
      </c>
      <c r="M85" s="111"/>
      <c r="N85" s="111"/>
    </row>
    <row r="86" spans="2:14" ht="15.75">
      <c r="B86" s="106">
        <v>84</v>
      </c>
      <c r="C86" s="107">
        <v>3</v>
      </c>
      <c r="D86" s="108"/>
      <c r="E86" s="25"/>
      <c r="F86" s="25"/>
      <c r="G86" s="112" t="s">
        <v>456</v>
      </c>
      <c r="H86" s="112">
        <v>0.56000000000000005</v>
      </c>
      <c r="I86" s="110">
        <v>70</v>
      </c>
      <c r="J86" s="110">
        <v>1</v>
      </c>
      <c r="K86" s="110">
        <v>1</v>
      </c>
      <c r="L86" s="110">
        <f t="shared" si="2"/>
        <v>39.200000000000003</v>
      </c>
      <c r="M86" s="111"/>
      <c r="N86" s="111"/>
    </row>
    <row r="87" spans="2:14" ht="15.75">
      <c r="B87" s="106">
        <v>85</v>
      </c>
      <c r="C87" s="107">
        <v>3</v>
      </c>
      <c r="D87" s="108"/>
      <c r="E87" s="25"/>
      <c r="F87" s="25"/>
      <c r="G87" s="112" t="s">
        <v>457</v>
      </c>
      <c r="H87" s="112">
        <v>167</v>
      </c>
      <c r="I87" s="110">
        <v>1</v>
      </c>
      <c r="J87" s="110">
        <v>1</v>
      </c>
      <c r="K87" s="110">
        <v>1</v>
      </c>
      <c r="L87" s="110">
        <f t="shared" si="2"/>
        <v>167</v>
      </c>
      <c r="M87" s="111"/>
      <c r="N87" s="111"/>
    </row>
    <row r="88" spans="2:14" ht="24">
      <c r="B88" s="106">
        <v>86</v>
      </c>
      <c r="C88" s="107">
        <v>3</v>
      </c>
      <c r="D88" s="108"/>
      <c r="E88" s="25"/>
      <c r="F88" s="25"/>
      <c r="G88" s="110" t="s">
        <v>545</v>
      </c>
      <c r="H88" s="112" t="s">
        <v>671</v>
      </c>
      <c r="I88" s="110"/>
      <c r="J88" s="110"/>
      <c r="K88" s="110"/>
      <c r="L88" s="110"/>
      <c r="M88" s="111"/>
      <c r="N88" s="111"/>
    </row>
    <row r="89" spans="2:14" ht="15.75">
      <c r="B89" s="106">
        <v>87</v>
      </c>
      <c r="C89" s="107">
        <v>3</v>
      </c>
      <c r="D89" s="108"/>
      <c r="E89" s="25"/>
      <c r="F89" s="25"/>
      <c r="G89" s="112" t="s">
        <v>443</v>
      </c>
      <c r="H89" s="112">
        <v>8.33</v>
      </c>
      <c r="I89" s="112">
        <v>4</v>
      </c>
      <c r="J89" s="110">
        <v>1</v>
      </c>
      <c r="K89" s="110">
        <v>1</v>
      </c>
      <c r="L89" s="110">
        <f t="shared" si="2"/>
        <v>33.32</v>
      </c>
      <c r="M89" s="111"/>
      <c r="N89" s="111"/>
    </row>
    <row r="90" spans="2:14" ht="15.75">
      <c r="B90" s="106">
        <v>88</v>
      </c>
      <c r="C90" s="107">
        <v>3</v>
      </c>
      <c r="D90" s="108"/>
      <c r="E90" s="25"/>
      <c r="F90" s="25"/>
      <c r="G90" s="112" t="s">
        <v>444</v>
      </c>
      <c r="H90" s="112">
        <v>1.1100000000000001</v>
      </c>
      <c r="I90" s="110">
        <v>70</v>
      </c>
      <c r="J90" s="110">
        <v>1</v>
      </c>
      <c r="K90" s="110">
        <v>1</v>
      </c>
      <c r="L90" s="110">
        <f t="shared" si="2"/>
        <v>77.7</v>
      </c>
      <c r="M90" s="111"/>
      <c r="N90" s="111"/>
    </row>
    <row r="91" spans="2:14" ht="15.75">
      <c r="B91" s="106">
        <v>89</v>
      </c>
      <c r="C91" s="107">
        <v>3</v>
      </c>
      <c r="D91" s="108"/>
      <c r="E91" s="25"/>
      <c r="F91" s="25"/>
      <c r="G91" s="112" t="s">
        <v>456</v>
      </c>
      <c r="H91" s="112">
        <v>0.56000000000000005</v>
      </c>
      <c r="I91" s="110">
        <v>110</v>
      </c>
      <c r="J91" s="110">
        <v>1</v>
      </c>
      <c r="K91" s="110">
        <v>1</v>
      </c>
      <c r="L91" s="110">
        <f t="shared" si="2"/>
        <v>61.600000000000009</v>
      </c>
      <c r="M91" s="111"/>
      <c r="N91" s="111"/>
    </row>
    <row r="92" spans="2:14" ht="15.75">
      <c r="B92" s="106">
        <v>90</v>
      </c>
      <c r="C92" s="107">
        <v>3</v>
      </c>
      <c r="D92" s="108"/>
      <c r="E92" s="25"/>
      <c r="F92" s="25"/>
      <c r="G92" s="112" t="s">
        <v>458</v>
      </c>
      <c r="H92" s="112">
        <v>305.56</v>
      </c>
      <c r="I92" s="110">
        <v>1</v>
      </c>
      <c r="J92" s="110">
        <v>1</v>
      </c>
      <c r="K92" s="110">
        <v>1</v>
      </c>
      <c r="L92" s="110">
        <f t="shared" si="2"/>
        <v>305.56</v>
      </c>
      <c r="M92" s="111"/>
      <c r="N92" s="111"/>
    </row>
    <row r="93" spans="2:14" ht="15.75">
      <c r="B93" s="106">
        <v>91</v>
      </c>
      <c r="C93" s="107">
        <v>3</v>
      </c>
      <c r="D93" s="108"/>
      <c r="E93" s="25"/>
      <c r="F93" s="25"/>
      <c r="G93" s="110" t="s">
        <v>447</v>
      </c>
      <c r="H93" s="112">
        <v>1.19</v>
      </c>
      <c r="I93" s="110">
        <v>10</v>
      </c>
      <c r="J93" s="110">
        <v>1</v>
      </c>
      <c r="K93" s="110">
        <v>6</v>
      </c>
      <c r="L93" s="110">
        <f t="shared" si="2"/>
        <v>71.399999999999991</v>
      </c>
      <c r="M93" s="111"/>
      <c r="N93" s="111"/>
    </row>
    <row r="94" spans="2:14" ht="15.75">
      <c r="B94" s="106">
        <v>92</v>
      </c>
      <c r="C94" s="107">
        <v>3</v>
      </c>
      <c r="D94" s="108"/>
      <c r="E94" s="25"/>
      <c r="F94" s="25"/>
      <c r="G94" s="110" t="s">
        <v>459</v>
      </c>
      <c r="H94" s="112">
        <v>16.670000000000002</v>
      </c>
      <c r="I94" s="110">
        <v>2</v>
      </c>
      <c r="J94" s="110">
        <v>1</v>
      </c>
      <c r="K94" s="110">
        <v>1</v>
      </c>
      <c r="L94" s="110">
        <f t="shared" si="2"/>
        <v>33.340000000000003</v>
      </c>
      <c r="M94" s="111"/>
      <c r="N94" s="111"/>
    </row>
    <row r="95" spans="2:14" s="138" customFormat="1" ht="76.5">
      <c r="B95" s="126">
        <v>93</v>
      </c>
      <c r="C95" s="127">
        <v>4</v>
      </c>
      <c r="D95" s="135" t="s">
        <v>260</v>
      </c>
      <c r="E95" s="129" t="s">
        <v>676</v>
      </c>
      <c r="F95" s="136" t="s">
        <v>677</v>
      </c>
      <c r="G95" s="131" t="s">
        <v>548</v>
      </c>
      <c r="H95" s="137" t="s">
        <v>671</v>
      </c>
      <c r="I95" s="131"/>
      <c r="J95" s="131"/>
      <c r="K95" s="131"/>
      <c r="L95" s="131">
        <f>SUM(L96:L123)</f>
        <v>1905.11</v>
      </c>
      <c r="M95" s="133">
        <v>9525.5499999999993</v>
      </c>
      <c r="N95" s="134">
        <v>5715.33</v>
      </c>
    </row>
    <row r="96" spans="2:14" ht="15.75">
      <c r="B96" s="106">
        <v>94</v>
      </c>
      <c r="C96" s="107">
        <v>4</v>
      </c>
      <c r="D96" s="108"/>
      <c r="E96" s="25"/>
      <c r="F96" s="25"/>
      <c r="G96" s="110" t="s">
        <v>452</v>
      </c>
      <c r="H96" s="112" t="s">
        <v>671</v>
      </c>
      <c r="I96" s="110"/>
      <c r="J96" s="110"/>
      <c r="K96" s="110"/>
      <c r="L96" s="110"/>
      <c r="M96" s="111"/>
      <c r="N96" s="111"/>
    </row>
    <row r="97" spans="2:14" ht="15.75">
      <c r="B97" s="106">
        <v>95</v>
      </c>
      <c r="C97" s="107">
        <v>4</v>
      </c>
      <c r="D97" s="108"/>
      <c r="E97" s="25"/>
      <c r="F97" s="25"/>
      <c r="G97" s="112" t="s">
        <v>453</v>
      </c>
      <c r="H97" s="112">
        <v>25</v>
      </c>
      <c r="I97" s="110">
        <v>1</v>
      </c>
      <c r="J97" s="110">
        <v>1</v>
      </c>
      <c r="K97" s="110">
        <v>3</v>
      </c>
      <c r="L97" s="110">
        <f t="shared" ref="L97:L123" si="3">H97*I97*J97*K97</f>
        <v>75</v>
      </c>
      <c r="M97" s="111"/>
      <c r="N97" s="111"/>
    </row>
    <row r="98" spans="2:14" ht="15.75">
      <c r="B98" s="106">
        <v>96</v>
      </c>
      <c r="C98" s="107">
        <v>4</v>
      </c>
      <c r="D98" s="108"/>
      <c r="E98" s="25"/>
      <c r="F98" s="25"/>
      <c r="G98" s="112" t="s">
        <v>429</v>
      </c>
      <c r="H98" s="112">
        <v>4</v>
      </c>
      <c r="I98" s="110">
        <v>5</v>
      </c>
      <c r="J98" s="110">
        <v>1</v>
      </c>
      <c r="K98" s="110">
        <v>3</v>
      </c>
      <c r="L98" s="110">
        <f t="shared" si="3"/>
        <v>60</v>
      </c>
      <c r="M98" s="111"/>
      <c r="N98" s="111"/>
    </row>
    <row r="99" spans="2:14" ht="15.75">
      <c r="B99" s="106">
        <v>97</v>
      </c>
      <c r="C99" s="107">
        <v>4</v>
      </c>
      <c r="D99" s="108"/>
      <c r="E99" s="25"/>
      <c r="F99" s="25"/>
      <c r="G99" s="112" t="s">
        <v>430</v>
      </c>
      <c r="H99" s="112">
        <v>8</v>
      </c>
      <c r="I99" s="110">
        <v>5</v>
      </c>
      <c r="J99" s="110">
        <v>1</v>
      </c>
      <c r="K99" s="110">
        <v>3</v>
      </c>
      <c r="L99" s="110">
        <f t="shared" si="3"/>
        <v>120</v>
      </c>
      <c r="M99" s="111"/>
      <c r="N99" s="111"/>
    </row>
    <row r="100" spans="2:14" ht="24">
      <c r="B100" s="106">
        <v>98</v>
      </c>
      <c r="C100" s="107">
        <v>4</v>
      </c>
      <c r="D100" s="108"/>
      <c r="E100" s="25"/>
      <c r="F100" s="25"/>
      <c r="G100" s="112" t="s">
        <v>431</v>
      </c>
      <c r="H100" s="112">
        <v>10</v>
      </c>
      <c r="I100" s="110">
        <v>5</v>
      </c>
      <c r="J100" s="110">
        <v>1</v>
      </c>
      <c r="K100" s="110">
        <v>3</v>
      </c>
      <c r="L100" s="110">
        <f t="shared" si="3"/>
        <v>150</v>
      </c>
      <c r="M100" s="111"/>
      <c r="N100" s="111"/>
    </row>
    <row r="101" spans="2:14" ht="15.75">
      <c r="B101" s="106">
        <v>99</v>
      </c>
      <c r="C101" s="107">
        <v>4</v>
      </c>
      <c r="D101" s="108"/>
      <c r="E101" s="25"/>
      <c r="F101" s="25"/>
      <c r="G101" s="112" t="s">
        <v>432</v>
      </c>
      <c r="H101" s="112">
        <v>8</v>
      </c>
      <c r="I101" s="110">
        <v>1</v>
      </c>
      <c r="J101" s="110">
        <v>1</v>
      </c>
      <c r="K101" s="110">
        <v>3</v>
      </c>
      <c r="L101" s="110">
        <f t="shared" si="3"/>
        <v>24</v>
      </c>
      <c r="M101" s="111"/>
      <c r="N101" s="111"/>
    </row>
    <row r="102" spans="2:14" ht="15.75">
      <c r="B102" s="106">
        <v>100</v>
      </c>
      <c r="C102" s="107">
        <v>4</v>
      </c>
      <c r="D102" s="108"/>
      <c r="E102" s="25"/>
      <c r="F102" s="25"/>
      <c r="G102" s="112" t="s">
        <v>433</v>
      </c>
      <c r="H102" s="112">
        <v>10</v>
      </c>
      <c r="I102" s="110">
        <v>1</v>
      </c>
      <c r="J102" s="110">
        <v>1</v>
      </c>
      <c r="K102" s="110">
        <v>3</v>
      </c>
      <c r="L102" s="110">
        <f t="shared" si="3"/>
        <v>30</v>
      </c>
      <c r="M102" s="111"/>
      <c r="N102" s="111"/>
    </row>
    <row r="103" spans="2:14" ht="15.75">
      <c r="B103" s="106">
        <v>101</v>
      </c>
      <c r="C103" s="107">
        <v>4</v>
      </c>
      <c r="D103" s="108"/>
      <c r="E103" s="25"/>
      <c r="F103" s="25"/>
      <c r="G103" s="112" t="s">
        <v>434</v>
      </c>
      <c r="H103" s="112">
        <v>10</v>
      </c>
      <c r="I103" s="110">
        <v>5</v>
      </c>
      <c r="J103" s="110">
        <v>1</v>
      </c>
      <c r="K103" s="110">
        <v>1</v>
      </c>
      <c r="L103" s="110">
        <f t="shared" si="3"/>
        <v>50</v>
      </c>
      <c r="M103" s="111"/>
      <c r="N103" s="111"/>
    </row>
    <row r="104" spans="2:14" ht="15.75">
      <c r="B104" s="106">
        <v>102</v>
      </c>
      <c r="C104" s="107">
        <v>4</v>
      </c>
      <c r="D104" s="108"/>
      <c r="E104" s="25"/>
      <c r="F104" s="25"/>
      <c r="G104" s="112" t="s">
        <v>435</v>
      </c>
      <c r="H104" s="112">
        <v>70</v>
      </c>
      <c r="I104" s="110">
        <v>1</v>
      </c>
      <c r="J104" s="110">
        <v>1</v>
      </c>
      <c r="K104" s="110">
        <v>3</v>
      </c>
      <c r="L104" s="110">
        <f t="shared" si="3"/>
        <v>210</v>
      </c>
      <c r="M104" s="111"/>
      <c r="N104" s="111"/>
    </row>
    <row r="105" spans="2:14" ht="15.75">
      <c r="B105" s="106">
        <v>103</v>
      </c>
      <c r="C105" s="107">
        <v>4</v>
      </c>
      <c r="D105" s="108"/>
      <c r="E105" s="25"/>
      <c r="F105" s="25"/>
      <c r="G105" s="112" t="s">
        <v>436</v>
      </c>
      <c r="H105" s="112">
        <v>0.88</v>
      </c>
      <c r="I105" s="110">
        <v>1</v>
      </c>
      <c r="J105" s="110">
        <v>1</v>
      </c>
      <c r="K105" s="110">
        <v>1</v>
      </c>
      <c r="L105" s="110">
        <f t="shared" si="3"/>
        <v>0.88</v>
      </c>
      <c r="M105" s="111"/>
      <c r="N105" s="111"/>
    </row>
    <row r="106" spans="2:14" ht="15.75">
      <c r="B106" s="106">
        <v>104</v>
      </c>
      <c r="C106" s="107">
        <v>4</v>
      </c>
      <c r="D106" s="108"/>
      <c r="E106" s="25"/>
      <c r="F106" s="25"/>
      <c r="G106" s="112" t="s">
        <v>437</v>
      </c>
      <c r="H106" s="112">
        <f>23.48-0.23</f>
        <v>23.25</v>
      </c>
      <c r="I106" s="110">
        <v>1</v>
      </c>
      <c r="J106" s="110">
        <v>1</v>
      </c>
      <c r="K106" s="110">
        <v>1</v>
      </c>
      <c r="L106" s="110">
        <f t="shared" si="3"/>
        <v>23.25</v>
      </c>
      <c r="M106" s="111"/>
      <c r="N106" s="111"/>
    </row>
    <row r="107" spans="2:14" ht="15.75">
      <c r="B107" s="106">
        <v>105</v>
      </c>
      <c r="C107" s="107">
        <v>4</v>
      </c>
      <c r="D107" s="108"/>
      <c r="E107" s="25"/>
      <c r="F107" s="25"/>
      <c r="G107" s="112" t="s">
        <v>438</v>
      </c>
      <c r="H107" s="112">
        <v>0.59</v>
      </c>
      <c r="I107" s="110">
        <v>1</v>
      </c>
      <c r="J107" s="110">
        <v>1</v>
      </c>
      <c r="K107" s="110">
        <v>1</v>
      </c>
      <c r="L107" s="110">
        <f t="shared" si="3"/>
        <v>0.59</v>
      </c>
      <c r="M107" s="111"/>
      <c r="N107" s="111"/>
    </row>
    <row r="108" spans="2:14" ht="15.75">
      <c r="B108" s="106">
        <v>106</v>
      </c>
      <c r="C108" s="107">
        <v>4</v>
      </c>
      <c r="D108" s="108"/>
      <c r="E108" s="25"/>
      <c r="F108" s="25"/>
      <c r="G108" s="110" t="s">
        <v>441</v>
      </c>
      <c r="H108" s="112" t="s">
        <v>671</v>
      </c>
      <c r="I108" s="110"/>
      <c r="J108" s="110"/>
      <c r="K108" s="110"/>
      <c r="L108" s="110"/>
      <c r="M108" s="111"/>
      <c r="N108" s="111"/>
    </row>
    <row r="109" spans="2:14" ht="15.75">
      <c r="B109" s="106">
        <v>107</v>
      </c>
      <c r="C109" s="107">
        <v>4</v>
      </c>
      <c r="D109" s="108"/>
      <c r="E109" s="25"/>
      <c r="F109" s="25"/>
      <c r="G109" s="112" t="s">
        <v>442</v>
      </c>
      <c r="H109" s="112">
        <v>6</v>
      </c>
      <c r="I109" s="110">
        <v>20</v>
      </c>
      <c r="J109" s="110">
        <v>1</v>
      </c>
      <c r="K109" s="110">
        <v>1</v>
      </c>
      <c r="L109" s="110">
        <f t="shared" si="3"/>
        <v>120</v>
      </c>
      <c r="M109" s="111"/>
      <c r="N109" s="111"/>
    </row>
    <row r="110" spans="2:14" ht="15.75">
      <c r="B110" s="106">
        <v>108</v>
      </c>
      <c r="C110" s="107">
        <v>4</v>
      </c>
      <c r="D110" s="108"/>
      <c r="E110" s="25"/>
      <c r="F110" s="25"/>
      <c r="G110" s="110" t="s">
        <v>454</v>
      </c>
      <c r="H110" s="112" t="s">
        <v>671</v>
      </c>
      <c r="I110" s="110"/>
      <c r="J110" s="110"/>
      <c r="K110" s="110"/>
      <c r="L110" s="110"/>
      <c r="M110" s="111"/>
      <c r="N110" s="111"/>
    </row>
    <row r="111" spans="2:14" ht="15.75">
      <c r="B111" s="106">
        <v>109</v>
      </c>
      <c r="C111" s="107">
        <v>4</v>
      </c>
      <c r="D111" s="108"/>
      <c r="E111" s="25"/>
      <c r="F111" s="25"/>
      <c r="G111" s="112" t="s">
        <v>455</v>
      </c>
      <c r="H111" s="112">
        <v>260</v>
      </c>
      <c r="I111" s="110">
        <v>1</v>
      </c>
      <c r="J111" s="110">
        <v>1</v>
      </c>
      <c r="K111" s="110">
        <v>1</v>
      </c>
      <c r="L111" s="110">
        <f t="shared" si="3"/>
        <v>260</v>
      </c>
      <c r="M111" s="111"/>
      <c r="N111" s="111"/>
    </row>
    <row r="112" spans="2:14" ht="15.75">
      <c r="B112" s="106">
        <v>110</v>
      </c>
      <c r="C112" s="107">
        <v>4</v>
      </c>
      <c r="D112" s="108"/>
      <c r="E112" s="25"/>
      <c r="F112" s="25"/>
      <c r="G112" s="112" t="s">
        <v>435</v>
      </c>
      <c r="H112" s="112">
        <v>70</v>
      </c>
      <c r="I112" s="110">
        <v>1</v>
      </c>
      <c r="J112" s="110">
        <v>1</v>
      </c>
      <c r="K112" s="110">
        <v>1</v>
      </c>
      <c r="L112" s="110">
        <f t="shared" si="3"/>
        <v>70</v>
      </c>
      <c r="M112" s="111"/>
      <c r="N112" s="111"/>
    </row>
    <row r="113" spans="2:14" ht="15.75">
      <c r="B113" s="106">
        <v>111</v>
      </c>
      <c r="C113" s="107">
        <v>4</v>
      </c>
      <c r="D113" s="108"/>
      <c r="E113" s="25"/>
      <c r="F113" s="25"/>
      <c r="G113" s="112" t="s">
        <v>443</v>
      </c>
      <c r="H113" s="112">
        <v>8.33</v>
      </c>
      <c r="I113" s="112">
        <v>4</v>
      </c>
      <c r="J113" s="110">
        <v>1</v>
      </c>
      <c r="K113" s="110">
        <v>1</v>
      </c>
      <c r="L113" s="110">
        <f t="shared" si="3"/>
        <v>33.32</v>
      </c>
      <c r="M113" s="111"/>
      <c r="N113" s="111"/>
    </row>
    <row r="114" spans="2:14" ht="15.75">
      <c r="B114" s="106">
        <v>112</v>
      </c>
      <c r="C114" s="107">
        <v>4</v>
      </c>
      <c r="D114" s="108"/>
      <c r="E114" s="25"/>
      <c r="F114" s="25"/>
      <c r="G114" s="112" t="s">
        <v>444</v>
      </c>
      <c r="H114" s="112">
        <v>1.1100000000000001</v>
      </c>
      <c r="I114" s="110">
        <v>20</v>
      </c>
      <c r="J114" s="110">
        <v>1</v>
      </c>
      <c r="K114" s="110">
        <v>1</v>
      </c>
      <c r="L114" s="110">
        <f t="shared" si="3"/>
        <v>22.200000000000003</v>
      </c>
      <c r="M114" s="111"/>
      <c r="N114" s="111"/>
    </row>
    <row r="115" spans="2:14" ht="15.75">
      <c r="B115" s="106">
        <v>113</v>
      </c>
      <c r="C115" s="107">
        <v>4</v>
      </c>
      <c r="D115" s="108"/>
      <c r="E115" s="25"/>
      <c r="F115" s="25"/>
      <c r="G115" s="112" t="s">
        <v>456</v>
      </c>
      <c r="H115" s="112">
        <v>0.56000000000000005</v>
      </c>
      <c r="I115" s="110">
        <v>40</v>
      </c>
      <c r="J115" s="110">
        <v>1</v>
      </c>
      <c r="K115" s="110">
        <v>1</v>
      </c>
      <c r="L115" s="110">
        <f t="shared" si="3"/>
        <v>22.400000000000002</v>
      </c>
      <c r="M115" s="111"/>
      <c r="N115" s="111"/>
    </row>
    <row r="116" spans="2:14" ht="15.75">
      <c r="B116" s="106">
        <v>114</v>
      </c>
      <c r="C116" s="107">
        <v>4</v>
      </c>
      <c r="D116" s="108"/>
      <c r="E116" s="25"/>
      <c r="F116" s="25"/>
      <c r="G116" s="112" t="s">
        <v>457</v>
      </c>
      <c r="H116" s="112">
        <v>167</v>
      </c>
      <c r="I116" s="110">
        <v>1</v>
      </c>
      <c r="J116" s="110">
        <v>1</v>
      </c>
      <c r="K116" s="110">
        <v>1</v>
      </c>
      <c r="L116" s="110">
        <f t="shared" si="3"/>
        <v>167</v>
      </c>
      <c r="M116" s="111"/>
      <c r="N116" s="111"/>
    </row>
    <row r="117" spans="2:14" ht="24">
      <c r="B117" s="106">
        <v>115</v>
      </c>
      <c r="C117" s="107">
        <v>4</v>
      </c>
      <c r="D117" s="108"/>
      <c r="E117" s="25"/>
      <c r="F117" s="25"/>
      <c r="G117" s="110" t="s">
        <v>545</v>
      </c>
      <c r="H117" s="112" t="s">
        <v>671</v>
      </c>
      <c r="I117" s="110"/>
      <c r="J117" s="110"/>
      <c r="K117" s="110"/>
      <c r="L117" s="110"/>
      <c r="M117" s="111"/>
      <c r="N117" s="111"/>
    </row>
    <row r="118" spans="2:14" ht="15.75">
      <c r="B118" s="106">
        <v>116</v>
      </c>
      <c r="C118" s="107">
        <v>4</v>
      </c>
      <c r="D118" s="108"/>
      <c r="E118" s="25"/>
      <c r="F118" s="25"/>
      <c r="G118" s="112" t="s">
        <v>443</v>
      </c>
      <c r="H118" s="112">
        <v>8.33</v>
      </c>
      <c r="I118" s="112">
        <v>4</v>
      </c>
      <c r="J118" s="110">
        <v>1</v>
      </c>
      <c r="K118" s="110">
        <v>1</v>
      </c>
      <c r="L118" s="110">
        <f t="shared" si="3"/>
        <v>33.32</v>
      </c>
      <c r="M118" s="111"/>
      <c r="N118" s="111"/>
    </row>
    <row r="119" spans="2:14" ht="15.75">
      <c r="B119" s="106">
        <v>117</v>
      </c>
      <c r="C119" s="107">
        <v>4</v>
      </c>
      <c r="D119" s="108"/>
      <c r="E119" s="25"/>
      <c r="F119" s="25"/>
      <c r="G119" s="112" t="s">
        <v>444</v>
      </c>
      <c r="H119" s="112">
        <v>1.1100000000000001</v>
      </c>
      <c r="I119" s="110">
        <v>25</v>
      </c>
      <c r="J119" s="110">
        <v>1</v>
      </c>
      <c r="K119" s="110">
        <v>1</v>
      </c>
      <c r="L119" s="110">
        <f t="shared" si="3"/>
        <v>27.750000000000004</v>
      </c>
      <c r="M119" s="111"/>
      <c r="N119" s="111"/>
    </row>
    <row r="120" spans="2:14" ht="15.75">
      <c r="B120" s="106">
        <v>118</v>
      </c>
      <c r="C120" s="107">
        <v>4</v>
      </c>
      <c r="D120" s="108"/>
      <c r="E120" s="25"/>
      <c r="F120" s="25"/>
      <c r="G120" s="112" t="s">
        <v>456</v>
      </c>
      <c r="H120" s="112">
        <v>0.56000000000000005</v>
      </c>
      <c r="I120" s="110">
        <v>55</v>
      </c>
      <c r="J120" s="110">
        <v>1</v>
      </c>
      <c r="K120" s="110">
        <v>1</v>
      </c>
      <c r="L120" s="110">
        <f t="shared" si="3"/>
        <v>30.800000000000004</v>
      </c>
      <c r="M120" s="111"/>
      <c r="N120" s="111"/>
    </row>
    <row r="121" spans="2:14" ht="15.75">
      <c r="B121" s="106">
        <v>119</v>
      </c>
      <c r="C121" s="107">
        <v>4</v>
      </c>
      <c r="D121" s="108"/>
      <c r="E121" s="25"/>
      <c r="F121" s="25"/>
      <c r="G121" s="112" t="s">
        <v>458</v>
      </c>
      <c r="H121" s="112">
        <v>305.56</v>
      </c>
      <c r="I121" s="110">
        <v>1</v>
      </c>
      <c r="J121" s="110">
        <v>1</v>
      </c>
      <c r="K121" s="110">
        <v>1</v>
      </c>
      <c r="L121" s="110">
        <f t="shared" si="3"/>
        <v>305.56</v>
      </c>
      <c r="M121" s="111"/>
      <c r="N121" s="111"/>
    </row>
    <row r="122" spans="2:14" ht="15.75">
      <c r="B122" s="106">
        <v>120</v>
      </c>
      <c r="C122" s="107">
        <v>4</v>
      </c>
      <c r="D122" s="108"/>
      <c r="E122" s="25"/>
      <c r="F122" s="25"/>
      <c r="G122" s="110" t="s">
        <v>447</v>
      </c>
      <c r="H122" s="112">
        <v>1.19</v>
      </c>
      <c r="I122" s="110">
        <v>10</v>
      </c>
      <c r="J122" s="110">
        <v>1</v>
      </c>
      <c r="K122" s="110">
        <v>3</v>
      </c>
      <c r="L122" s="110">
        <f t="shared" si="3"/>
        <v>35.699999999999996</v>
      </c>
      <c r="M122" s="111"/>
      <c r="N122" s="111"/>
    </row>
    <row r="123" spans="2:14" ht="15.75">
      <c r="B123" s="106">
        <v>121</v>
      </c>
      <c r="C123" s="107">
        <v>4</v>
      </c>
      <c r="D123" s="108"/>
      <c r="E123" s="25"/>
      <c r="F123" s="25"/>
      <c r="G123" s="110" t="s">
        <v>459</v>
      </c>
      <c r="H123" s="112">
        <v>16.670000000000002</v>
      </c>
      <c r="I123" s="110">
        <v>2</v>
      </c>
      <c r="J123" s="110">
        <v>1</v>
      </c>
      <c r="K123" s="110">
        <v>1</v>
      </c>
      <c r="L123" s="110">
        <f t="shared" si="3"/>
        <v>33.340000000000003</v>
      </c>
      <c r="M123" s="111"/>
      <c r="N123" s="111"/>
    </row>
    <row r="124" spans="2:14" s="138" customFormat="1" ht="90">
      <c r="B124" s="126">
        <v>122</v>
      </c>
      <c r="C124" s="127">
        <v>5</v>
      </c>
      <c r="D124" s="135" t="s">
        <v>258</v>
      </c>
      <c r="E124" s="129" t="s">
        <v>678</v>
      </c>
      <c r="F124" s="136" t="s">
        <v>679</v>
      </c>
      <c r="G124" s="131" t="s">
        <v>549</v>
      </c>
      <c r="H124" s="137" t="s">
        <v>671</v>
      </c>
      <c r="I124" s="131"/>
      <c r="J124" s="131"/>
      <c r="K124" s="131"/>
      <c r="L124" s="131">
        <f>SUM(L125:L152)</f>
        <v>2951.1100000000006</v>
      </c>
      <c r="M124" s="133">
        <v>14755.55</v>
      </c>
      <c r="N124" s="134">
        <v>8853.33</v>
      </c>
    </row>
    <row r="125" spans="2:14" ht="15.75">
      <c r="B125" s="106">
        <v>123</v>
      </c>
      <c r="C125" s="107">
        <v>5</v>
      </c>
      <c r="D125" s="108"/>
      <c r="E125" s="25"/>
      <c r="F125" s="25"/>
      <c r="G125" s="110" t="s">
        <v>452</v>
      </c>
      <c r="H125" s="112" t="s">
        <v>671</v>
      </c>
      <c r="I125" s="110"/>
      <c r="J125" s="110"/>
      <c r="K125" s="110"/>
      <c r="L125" s="110"/>
      <c r="M125" s="111"/>
      <c r="N125" s="111"/>
    </row>
    <row r="126" spans="2:14" ht="15.75">
      <c r="B126" s="106">
        <v>124</v>
      </c>
      <c r="C126" s="107">
        <v>5</v>
      </c>
      <c r="D126" s="108"/>
      <c r="E126" s="25"/>
      <c r="F126" s="25"/>
      <c r="G126" s="112" t="s">
        <v>453</v>
      </c>
      <c r="H126" s="112">
        <v>25</v>
      </c>
      <c r="I126" s="110">
        <v>1</v>
      </c>
      <c r="J126" s="110">
        <v>1</v>
      </c>
      <c r="K126" s="110">
        <v>5</v>
      </c>
      <c r="L126" s="110">
        <f t="shared" ref="L126:L152" si="4">H126*I126*J126*K126</f>
        <v>125</v>
      </c>
      <c r="M126" s="111"/>
      <c r="N126" s="111"/>
    </row>
    <row r="127" spans="2:14" ht="15.75">
      <c r="B127" s="106">
        <v>125</v>
      </c>
      <c r="C127" s="107">
        <v>5</v>
      </c>
      <c r="D127" s="108"/>
      <c r="E127" s="25"/>
      <c r="F127" s="25"/>
      <c r="G127" s="112" t="s">
        <v>429</v>
      </c>
      <c r="H127" s="112">
        <v>4</v>
      </c>
      <c r="I127" s="110">
        <v>10</v>
      </c>
      <c r="J127" s="110">
        <v>1</v>
      </c>
      <c r="K127" s="110">
        <v>5</v>
      </c>
      <c r="L127" s="110">
        <f t="shared" si="4"/>
        <v>200</v>
      </c>
      <c r="M127" s="111"/>
      <c r="N127" s="111"/>
    </row>
    <row r="128" spans="2:14" ht="15.75">
      <c r="B128" s="106">
        <v>126</v>
      </c>
      <c r="C128" s="107">
        <v>5</v>
      </c>
      <c r="D128" s="108"/>
      <c r="E128" s="25"/>
      <c r="F128" s="25"/>
      <c r="G128" s="112" t="s">
        <v>430</v>
      </c>
      <c r="H128" s="112">
        <v>8</v>
      </c>
      <c r="I128" s="110">
        <v>10</v>
      </c>
      <c r="J128" s="110">
        <v>1</v>
      </c>
      <c r="K128" s="110">
        <v>5</v>
      </c>
      <c r="L128" s="110">
        <f t="shared" si="4"/>
        <v>400</v>
      </c>
      <c r="M128" s="111"/>
      <c r="N128" s="111"/>
    </row>
    <row r="129" spans="2:14" ht="24">
      <c r="B129" s="106">
        <v>127</v>
      </c>
      <c r="C129" s="107">
        <v>5</v>
      </c>
      <c r="D129" s="108"/>
      <c r="E129" s="25"/>
      <c r="F129" s="25"/>
      <c r="G129" s="112" t="s">
        <v>431</v>
      </c>
      <c r="H129" s="112">
        <v>10</v>
      </c>
      <c r="I129" s="110">
        <v>10</v>
      </c>
      <c r="J129" s="110">
        <v>1</v>
      </c>
      <c r="K129" s="110">
        <v>5</v>
      </c>
      <c r="L129" s="110">
        <f t="shared" si="4"/>
        <v>500</v>
      </c>
      <c r="M129" s="111"/>
      <c r="N129" s="111"/>
    </row>
    <row r="130" spans="2:14" ht="15.75">
      <c r="B130" s="106">
        <v>128</v>
      </c>
      <c r="C130" s="107">
        <v>5</v>
      </c>
      <c r="D130" s="108"/>
      <c r="E130" s="25"/>
      <c r="F130" s="25"/>
      <c r="G130" s="112" t="s">
        <v>432</v>
      </c>
      <c r="H130" s="112">
        <v>8</v>
      </c>
      <c r="I130" s="110">
        <v>1</v>
      </c>
      <c r="J130" s="110">
        <v>1</v>
      </c>
      <c r="K130" s="110">
        <v>5</v>
      </c>
      <c r="L130" s="110">
        <f t="shared" si="4"/>
        <v>40</v>
      </c>
      <c r="M130" s="111"/>
      <c r="N130" s="111"/>
    </row>
    <row r="131" spans="2:14" ht="15.75">
      <c r="B131" s="106">
        <v>129</v>
      </c>
      <c r="C131" s="107">
        <v>5</v>
      </c>
      <c r="D131" s="108"/>
      <c r="E131" s="25"/>
      <c r="F131" s="25"/>
      <c r="G131" s="112" t="s">
        <v>433</v>
      </c>
      <c r="H131" s="112">
        <v>10</v>
      </c>
      <c r="I131" s="110">
        <v>1</v>
      </c>
      <c r="J131" s="110">
        <v>1</v>
      </c>
      <c r="K131" s="110">
        <v>5</v>
      </c>
      <c r="L131" s="110">
        <f t="shared" si="4"/>
        <v>50</v>
      </c>
      <c r="M131" s="111"/>
      <c r="N131" s="111"/>
    </row>
    <row r="132" spans="2:14" ht="15.75">
      <c r="B132" s="106">
        <v>130</v>
      </c>
      <c r="C132" s="107">
        <v>5</v>
      </c>
      <c r="D132" s="108"/>
      <c r="E132" s="25"/>
      <c r="F132" s="25"/>
      <c r="G132" s="112" t="s">
        <v>434</v>
      </c>
      <c r="H132" s="112">
        <v>10</v>
      </c>
      <c r="I132" s="110">
        <v>10</v>
      </c>
      <c r="J132" s="110">
        <v>1</v>
      </c>
      <c r="K132" s="110">
        <v>1</v>
      </c>
      <c r="L132" s="110">
        <f t="shared" si="4"/>
        <v>100</v>
      </c>
      <c r="M132" s="111"/>
      <c r="N132" s="111"/>
    </row>
    <row r="133" spans="2:14" ht="15.75">
      <c r="B133" s="106">
        <v>131</v>
      </c>
      <c r="C133" s="107">
        <v>5</v>
      </c>
      <c r="D133" s="108"/>
      <c r="E133" s="25"/>
      <c r="F133" s="25"/>
      <c r="G133" s="112" t="s">
        <v>435</v>
      </c>
      <c r="H133" s="112">
        <v>70</v>
      </c>
      <c r="I133" s="110">
        <v>1</v>
      </c>
      <c r="J133" s="110">
        <v>1</v>
      </c>
      <c r="K133" s="110">
        <v>5</v>
      </c>
      <c r="L133" s="110">
        <f t="shared" si="4"/>
        <v>350</v>
      </c>
      <c r="M133" s="111"/>
      <c r="N133" s="111"/>
    </row>
    <row r="134" spans="2:14" ht="15.75">
      <c r="B134" s="106">
        <v>132</v>
      </c>
      <c r="C134" s="107">
        <v>5</v>
      </c>
      <c r="D134" s="108"/>
      <c r="E134" s="25"/>
      <c r="F134" s="25"/>
      <c r="G134" s="112" t="s">
        <v>436</v>
      </c>
      <c r="H134" s="112">
        <v>0.88</v>
      </c>
      <c r="I134" s="110">
        <v>1</v>
      </c>
      <c r="J134" s="110">
        <v>1</v>
      </c>
      <c r="K134" s="110">
        <v>1</v>
      </c>
      <c r="L134" s="110">
        <f t="shared" si="4"/>
        <v>0.88</v>
      </c>
      <c r="M134" s="111"/>
      <c r="N134" s="111"/>
    </row>
    <row r="135" spans="2:14" ht="15.75">
      <c r="B135" s="106">
        <v>133</v>
      </c>
      <c r="C135" s="107">
        <v>5</v>
      </c>
      <c r="D135" s="108"/>
      <c r="E135" s="25"/>
      <c r="F135" s="25"/>
      <c r="G135" s="112" t="s">
        <v>437</v>
      </c>
      <c r="H135" s="112">
        <f>23.48-0.23</f>
        <v>23.25</v>
      </c>
      <c r="I135" s="110">
        <v>1</v>
      </c>
      <c r="J135" s="110">
        <v>1</v>
      </c>
      <c r="K135" s="110">
        <v>1</v>
      </c>
      <c r="L135" s="110">
        <f t="shared" si="4"/>
        <v>23.25</v>
      </c>
      <c r="M135" s="111"/>
      <c r="N135" s="111"/>
    </row>
    <row r="136" spans="2:14" ht="15.75">
      <c r="B136" s="106">
        <v>134</v>
      </c>
      <c r="C136" s="107">
        <v>5</v>
      </c>
      <c r="D136" s="108"/>
      <c r="E136" s="25"/>
      <c r="F136" s="25"/>
      <c r="G136" s="112" t="s">
        <v>438</v>
      </c>
      <c r="H136" s="112">
        <v>0.59</v>
      </c>
      <c r="I136" s="110">
        <v>1</v>
      </c>
      <c r="J136" s="110">
        <v>1</v>
      </c>
      <c r="K136" s="110">
        <v>1</v>
      </c>
      <c r="L136" s="110">
        <f t="shared" si="4"/>
        <v>0.59</v>
      </c>
      <c r="M136" s="111"/>
      <c r="N136" s="111"/>
    </row>
    <row r="137" spans="2:14" ht="15.75">
      <c r="B137" s="106">
        <v>135</v>
      </c>
      <c r="C137" s="107">
        <v>5</v>
      </c>
      <c r="D137" s="108"/>
      <c r="E137" s="25"/>
      <c r="F137" s="25"/>
      <c r="G137" s="110" t="s">
        <v>441</v>
      </c>
      <c r="H137" s="112" t="s">
        <v>671</v>
      </c>
      <c r="I137" s="110"/>
      <c r="J137" s="110"/>
      <c r="K137" s="110"/>
      <c r="L137" s="110"/>
      <c r="M137" s="111"/>
      <c r="N137" s="111"/>
    </row>
    <row r="138" spans="2:14" ht="15.75">
      <c r="B138" s="106">
        <v>136</v>
      </c>
      <c r="C138" s="107">
        <v>5</v>
      </c>
      <c r="D138" s="108"/>
      <c r="E138" s="25"/>
      <c r="F138" s="25"/>
      <c r="G138" s="112" t="s">
        <v>442</v>
      </c>
      <c r="H138" s="112">
        <v>6</v>
      </c>
      <c r="I138" s="110">
        <v>20</v>
      </c>
      <c r="J138" s="110">
        <v>1</v>
      </c>
      <c r="K138" s="110">
        <v>1</v>
      </c>
      <c r="L138" s="110">
        <f t="shared" si="4"/>
        <v>120</v>
      </c>
      <c r="M138" s="111"/>
      <c r="N138" s="111"/>
    </row>
    <row r="139" spans="2:14" ht="15.75">
      <c r="B139" s="106">
        <v>137</v>
      </c>
      <c r="C139" s="107">
        <v>5</v>
      </c>
      <c r="D139" s="108"/>
      <c r="E139" s="25"/>
      <c r="F139" s="25"/>
      <c r="G139" s="110" t="s">
        <v>454</v>
      </c>
      <c r="H139" s="112" t="s">
        <v>671</v>
      </c>
      <c r="I139" s="110"/>
      <c r="J139" s="110"/>
      <c r="K139" s="110"/>
      <c r="L139" s="110"/>
      <c r="M139" s="111"/>
      <c r="N139" s="111"/>
    </row>
    <row r="140" spans="2:14" ht="15.75">
      <c r="B140" s="106">
        <v>138</v>
      </c>
      <c r="C140" s="107">
        <v>5</v>
      </c>
      <c r="D140" s="108"/>
      <c r="E140" s="25"/>
      <c r="F140" s="25"/>
      <c r="G140" s="112" t="s">
        <v>455</v>
      </c>
      <c r="H140" s="112">
        <v>260</v>
      </c>
      <c r="I140" s="110">
        <v>1</v>
      </c>
      <c r="J140" s="110">
        <v>1</v>
      </c>
      <c r="K140" s="110">
        <v>1</v>
      </c>
      <c r="L140" s="110">
        <f t="shared" si="4"/>
        <v>260</v>
      </c>
      <c r="M140" s="111"/>
      <c r="N140" s="111"/>
    </row>
    <row r="141" spans="2:14" ht="15.75">
      <c r="B141" s="106">
        <v>139</v>
      </c>
      <c r="C141" s="107">
        <v>5</v>
      </c>
      <c r="D141" s="108"/>
      <c r="E141" s="25"/>
      <c r="F141" s="25"/>
      <c r="G141" s="112" t="s">
        <v>435</v>
      </c>
      <c r="H141" s="112">
        <v>70</v>
      </c>
      <c r="I141" s="110">
        <v>1</v>
      </c>
      <c r="J141" s="110">
        <v>1</v>
      </c>
      <c r="K141" s="110">
        <v>1</v>
      </c>
      <c r="L141" s="110">
        <f t="shared" si="4"/>
        <v>70</v>
      </c>
      <c r="M141" s="111"/>
      <c r="N141" s="111"/>
    </row>
    <row r="142" spans="2:14" ht="15.75">
      <c r="B142" s="106">
        <v>140</v>
      </c>
      <c r="C142" s="107">
        <v>5</v>
      </c>
      <c r="D142" s="108"/>
      <c r="E142" s="25"/>
      <c r="F142" s="25"/>
      <c r="G142" s="112" t="s">
        <v>443</v>
      </c>
      <c r="H142" s="112">
        <v>8.33</v>
      </c>
      <c r="I142" s="112">
        <v>4</v>
      </c>
      <c r="J142" s="110">
        <v>1</v>
      </c>
      <c r="K142" s="110">
        <v>1</v>
      </c>
      <c r="L142" s="110">
        <f t="shared" si="4"/>
        <v>33.32</v>
      </c>
      <c r="M142" s="111"/>
      <c r="N142" s="111"/>
    </row>
    <row r="143" spans="2:14" ht="15.75">
      <c r="B143" s="106">
        <v>141</v>
      </c>
      <c r="C143" s="107">
        <v>5</v>
      </c>
      <c r="D143" s="108"/>
      <c r="E143" s="25"/>
      <c r="F143" s="25"/>
      <c r="G143" s="112" t="s">
        <v>444</v>
      </c>
      <c r="H143" s="112">
        <v>1.1100000000000001</v>
      </c>
      <c r="I143" s="110">
        <v>20</v>
      </c>
      <c r="J143" s="110">
        <v>1</v>
      </c>
      <c r="K143" s="110">
        <v>1</v>
      </c>
      <c r="L143" s="110">
        <f t="shared" si="4"/>
        <v>22.200000000000003</v>
      </c>
      <c r="M143" s="111"/>
      <c r="N143" s="111"/>
    </row>
    <row r="144" spans="2:14" ht="15.75">
      <c r="B144" s="106">
        <v>142</v>
      </c>
      <c r="C144" s="107">
        <v>5</v>
      </c>
      <c r="D144" s="108"/>
      <c r="E144" s="25"/>
      <c r="F144" s="25"/>
      <c r="G144" s="112" t="s">
        <v>456</v>
      </c>
      <c r="H144" s="112">
        <v>0.56000000000000005</v>
      </c>
      <c r="I144" s="110">
        <v>40</v>
      </c>
      <c r="J144" s="110">
        <v>1</v>
      </c>
      <c r="K144" s="110">
        <v>1</v>
      </c>
      <c r="L144" s="110">
        <f t="shared" si="4"/>
        <v>22.400000000000002</v>
      </c>
      <c r="M144" s="111"/>
      <c r="N144" s="111"/>
    </row>
    <row r="145" spans="2:14" ht="15.75">
      <c r="B145" s="106">
        <v>143</v>
      </c>
      <c r="C145" s="107">
        <v>5</v>
      </c>
      <c r="D145" s="108"/>
      <c r="E145" s="25"/>
      <c r="F145" s="25"/>
      <c r="G145" s="112" t="s">
        <v>457</v>
      </c>
      <c r="H145" s="112">
        <v>167</v>
      </c>
      <c r="I145" s="110">
        <v>1</v>
      </c>
      <c r="J145" s="110">
        <v>1</v>
      </c>
      <c r="K145" s="110">
        <v>1</v>
      </c>
      <c r="L145" s="110">
        <f t="shared" si="4"/>
        <v>167</v>
      </c>
      <c r="M145" s="111"/>
      <c r="N145" s="111"/>
    </row>
    <row r="146" spans="2:14" ht="24">
      <c r="B146" s="106">
        <v>144</v>
      </c>
      <c r="C146" s="107">
        <v>5</v>
      </c>
      <c r="D146" s="108"/>
      <c r="E146" s="25"/>
      <c r="F146" s="25"/>
      <c r="G146" s="110" t="s">
        <v>545</v>
      </c>
      <c r="H146" s="112" t="s">
        <v>671</v>
      </c>
      <c r="I146" s="110"/>
      <c r="J146" s="110"/>
      <c r="K146" s="110"/>
      <c r="L146" s="110"/>
      <c r="M146" s="111"/>
      <c r="N146" s="111"/>
    </row>
    <row r="147" spans="2:14" ht="15.75">
      <c r="B147" s="106">
        <v>145</v>
      </c>
      <c r="C147" s="107">
        <v>5</v>
      </c>
      <c r="D147" s="108"/>
      <c r="E147" s="25"/>
      <c r="F147" s="25"/>
      <c r="G147" s="112" t="s">
        <v>443</v>
      </c>
      <c r="H147" s="112">
        <v>8.33</v>
      </c>
      <c r="I147" s="112">
        <v>4</v>
      </c>
      <c r="J147" s="110">
        <v>1</v>
      </c>
      <c r="K147" s="110">
        <v>1</v>
      </c>
      <c r="L147" s="110">
        <f t="shared" si="4"/>
        <v>33.32</v>
      </c>
      <c r="M147" s="111"/>
      <c r="N147" s="111"/>
    </row>
    <row r="148" spans="2:14" ht="15.75">
      <c r="B148" s="106">
        <v>146</v>
      </c>
      <c r="C148" s="107">
        <v>5</v>
      </c>
      <c r="D148" s="108"/>
      <c r="E148" s="25"/>
      <c r="F148" s="25"/>
      <c r="G148" s="112" t="s">
        <v>444</v>
      </c>
      <c r="H148" s="112">
        <v>1.1100000000000001</v>
      </c>
      <c r="I148" s="110">
        <v>25</v>
      </c>
      <c r="J148" s="110">
        <v>1</v>
      </c>
      <c r="K148" s="110">
        <v>1</v>
      </c>
      <c r="L148" s="110">
        <f t="shared" si="4"/>
        <v>27.750000000000004</v>
      </c>
      <c r="M148" s="111"/>
      <c r="N148" s="111"/>
    </row>
    <row r="149" spans="2:14" ht="15.75">
      <c r="B149" s="106">
        <v>147</v>
      </c>
      <c r="C149" s="107">
        <v>5</v>
      </c>
      <c r="D149" s="108"/>
      <c r="E149" s="25"/>
      <c r="F149" s="25"/>
      <c r="G149" s="112" t="s">
        <v>456</v>
      </c>
      <c r="H149" s="112">
        <v>0.56000000000000005</v>
      </c>
      <c r="I149" s="110">
        <v>55</v>
      </c>
      <c r="J149" s="110">
        <v>1</v>
      </c>
      <c r="K149" s="110">
        <v>1</v>
      </c>
      <c r="L149" s="110">
        <f t="shared" si="4"/>
        <v>30.800000000000004</v>
      </c>
      <c r="M149" s="111"/>
      <c r="N149" s="111"/>
    </row>
    <row r="150" spans="2:14" ht="15.75">
      <c r="B150" s="106">
        <v>148</v>
      </c>
      <c r="C150" s="107">
        <v>5</v>
      </c>
      <c r="D150" s="108"/>
      <c r="E150" s="25"/>
      <c r="F150" s="25"/>
      <c r="G150" s="112" t="s">
        <v>458</v>
      </c>
      <c r="H150" s="112">
        <v>305.56</v>
      </c>
      <c r="I150" s="110">
        <v>1</v>
      </c>
      <c r="J150" s="110">
        <v>1</v>
      </c>
      <c r="K150" s="110">
        <v>1</v>
      </c>
      <c r="L150" s="110">
        <f t="shared" si="4"/>
        <v>305.56</v>
      </c>
      <c r="M150" s="111"/>
      <c r="N150" s="111"/>
    </row>
    <row r="151" spans="2:14" ht="15.75">
      <c r="B151" s="106">
        <v>149</v>
      </c>
      <c r="C151" s="107">
        <v>5</v>
      </c>
      <c r="D151" s="108"/>
      <c r="E151" s="25"/>
      <c r="F151" s="25"/>
      <c r="G151" s="110" t="s">
        <v>447</v>
      </c>
      <c r="H151" s="112">
        <v>1.19</v>
      </c>
      <c r="I151" s="110">
        <v>10</v>
      </c>
      <c r="J151" s="110">
        <v>1</v>
      </c>
      <c r="K151" s="110">
        <v>3</v>
      </c>
      <c r="L151" s="110">
        <f t="shared" si="4"/>
        <v>35.699999999999996</v>
      </c>
      <c r="M151" s="111"/>
      <c r="N151" s="111"/>
    </row>
    <row r="152" spans="2:14" ht="15.75">
      <c r="B152" s="106">
        <v>150</v>
      </c>
      <c r="C152" s="107">
        <v>5</v>
      </c>
      <c r="D152" s="108"/>
      <c r="E152" s="25"/>
      <c r="F152" s="25"/>
      <c r="G152" s="110" t="s">
        <v>459</v>
      </c>
      <c r="H152" s="112">
        <v>16.670000000000002</v>
      </c>
      <c r="I152" s="110">
        <v>2</v>
      </c>
      <c r="J152" s="110">
        <v>1</v>
      </c>
      <c r="K152" s="110">
        <v>1</v>
      </c>
      <c r="L152" s="110">
        <f t="shared" si="4"/>
        <v>33.340000000000003</v>
      </c>
      <c r="M152" s="111"/>
      <c r="N152" s="111"/>
    </row>
    <row r="153" spans="2:14" s="138" customFormat="1" ht="76.5">
      <c r="B153" s="126">
        <v>151</v>
      </c>
      <c r="C153" s="127">
        <v>6</v>
      </c>
      <c r="D153" s="135" t="s">
        <v>256</v>
      </c>
      <c r="E153" s="129" t="s">
        <v>680</v>
      </c>
      <c r="F153" s="136" t="s">
        <v>681</v>
      </c>
      <c r="G153" s="131" t="s">
        <v>540</v>
      </c>
      <c r="H153" s="137" t="s">
        <v>671</v>
      </c>
      <c r="I153" s="131"/>
      <c r="J153" s="131"/>
      <c r="K153" s="131"/>
      <c r="L153" s="139">
        <f>SUM(L154:L179)</f>
        <v>2224.0974999999999</v>
      </c>
      <c r="M153" s="133">
        <v>2224.1</v>
      </c>
      <c r="N153" s="134">
        <v>2224.1</v>
      </c>
    </row>
    <row r="154" spans="2:14" ht="15.75">
      <c r="B154" s="106">
        <v>152</v>
      </c>
      <c r="C154" s="107">
        <v>6</v>
      </c>
      <c r="D154" s="108"/>
      <c r="E154" s="25"/>
      <c r="F154" s="25"/>
      <c r="G154" s="110" t="s">
        <v>541</v>
      </c>
      <c r="H154" s="112" t="s">
        <v>671</v>
      </c>
      <c r="I154" s="110"/>
      <c r="J154" s="110"/>
      <c r="K154" s="110"/>
      <c r="L154" s="110"/>
      <c r="M154" s="111"/>
      <c r="N154" s="111"/>
    </row>
    <row r="155" spans="2:14" ht="15.75">
      <c r="B155" s="106">
        <v>153</v>
      </c>
      <c r="C155" s="107">
        <v>6</v>
      </c>
      <c r="D155" s="108"/>
      <c r="E155" s="25"/>
      <c r="F155" s="25"/>
      <c r="G155" s="112" t="s">
        <v>453</v>
      </c>
      <c r="H155" s="112">
        <v>25</v>
      </c>
      <c r="I155" s="110">
        <v>1</v>
      </c>
      <c r="J155" s="110">
        <v>1</v>
      </c>
      <c r="K155" s="110">
        <v>3</v>
      </c>
      <c r="L155" s="110">
        <f t="shared" ref="L155:L179" si="5">H155*I155*J155*K155</f>
        <v>75</v>
      </c>
      <c r="M155" s="111"/>
      <c r="N155" s="111"/>
    </row>
    <row r="156" spans="2:14" ht="15.75">
      <c r="B156" s="106">
        <v>154</v>
      </c>
      <c r="C156" s="107">
        <v>6</v>
      </c>
      <c r="D156" s="108"/>
      <c r="E156" s="25"/>
      <c r="F156" s="25"/>
      <c r="G156" s="112" t="s">
        <v>429</v>
      </c>
      <c r="H156" s="112">
        <v>4</v>
      </c>
      <c r="I156" s="110">
        <v>12</v>
      </c>
      <c r="J156" s="110">
        <v>1</v>
      </c>
      <c r="K156" s="110">
        <v>3</v>
      </c>
      <c r="L156" s="110">
        <f t="shared" si="5"/>
        <v>144</v>
      </c>
      <c r="M156" s="111"/>
      <c r="N156" s="111"/>
    </row>
    <row r="157" spans="2:14" ht="15.75">
      <c r="B157" s="106">
        <v>155</v>
      </c>
      <c r="C157" s="107">
        <v>6</v>
      </c>
      <c r="D157" s="108"/>
      <c r="E157" s="25"/>
      <c r="F157" s="25"/>
      <c r="G157" s="112" t="s">
        <v>430</v>
      </c>
      <c r="H157" s="112">
        <v>8</v>
      </c>
      <c r="I157" s="110">
        <v>12</v>
      </c>
      <c r="J157" s="110">
        <v>1</v>
      </c>
      <c r="K157" s="110">
        <v>3</v>
      </c>
      <c r="L157" s="110">
        <f t="shared" si="5"/>
        <v>288</v>
      </c>
      <c r="M157" s="111"/>
      <c r="N157" s="111"/>
    </row>
    <row r="158" spans="2:14" ht="24">
      <c r="B158" s="106">
        <v>156</v>
      </c>
      <c r="C158" s="107">
        <v>6</v>
      </c>
      <c r="D158" s="108"/>
      <c r="E158" s="25"/>
      <c r="F158" s="25"/>
      <c r="G158" s="112" t="s">
        <v>431</v>
      </c>
      <c r="H158" s="112">
        <v>10</v>
      </c>
      <c r="I158" s="110">
        <v>10</v>
      </c>
      <c r="J158" s="110">
        <v>1</v>
      </c>
      <c r="K158" s="110">
        <v>3</v>
      </c>
      <c r="L158" s="110">
        <f t="shared" si="5"/>
        <v>300</v>
      </c>
      <c r="M158" s="111"/>
      <c r="N158" s="111"/>
    </row>
    <row r="159" spans="2:14" ht="15.75">
      <c r="B159" s="106">
        <v>157</v>
      </c>
      <c r="C159" s="107">
        <v>6</v>
      </c>
      <c r="D159" s="108"/>
      <c r="E159" s="25"/>
      <c r="F159" s="25"/>
      <c r="G159" s="112" t="s">
        <v>432</v>
      </c>
      <c r="H159" s="112">
        <v>8</v>
      </c>
      <c r="I159" s="110">
        <v>1</v>
      </c>
      <c r="J159" s="110">
        <v>1</v>
      </c>
      <c r="K159" s="110">
        <v>3</v>
      </c>
      <c r="L159" s="110">
        <f t="shared" si="5"/>
        <v>24</v>
      </c>
      <c r="M159" s="111"/>
      <c r="N159" s="111"/>
    </row>
    <row r="160" spans="2:14" ht="15.75">
      <c r="B160" s="106">
        <v>158</v>
      </c>
      <c r="C160" s="107">
        <v>6</v>
      </c>
      <c r="D160" s="108"/>
      <c r="E160" s="25"/>
      <c r="F160" s="25"/>
      <c r="G160" s="112" t="s">
        <v>433</v>
      </c>
      <c r="H160" s="112">
        <v>10</v>
      </c>
      <c r="I160" s="110">
        <v>1</v>
      </c>
      <c r="J160" s="110">
        <v>1</v>
      </c>
      <c r="K160" s="110">
        <v>3</v>
      </c>
      <c r="L160" s="110">
        <f t="shared" si="5"/>
        <v>30</v>
      </c>
      <c r="M160" s="111"/>
      <c r="N160" s="111"/>
    </row>
    <row r="161" spans="2:14" ht="15.75">
      <c r="B161" s="106">
        <v>159</v>
      </c>
      <c r="C161" s="107">
        <v>6</v>
      </c>
      <c r="D161" s="108"/>
      <c r="E161" s="25"/>
      <c r="F161" s="25"/>
      <c r="G161" s="112" t="s">
        <v>434</v>
      </c>
      <c r="H161" s="112">
        <v>10</v>
      </c>
      <c r="I161" s="110">
        <v>5</v>
      </c>
      <c r="J161" s="110">
        <v>1</v>
      </c>
      <c r="K161" s="110">
        <v>1</v>
      </c>
      <c r="L161" s="110">
        <f t="shared" si="5"/>
        <v>50</v>
      </c>
      <c r="M161" s="111"/>
      <c r="N161" s="111"/>
    </row>
    <row r="162" spans="2:14" ht="15.75">
      <c r="B162" s="106">
        <v>160</v>
      </c>
      <c r="C162" s="107">
        <v>6</v>
      </c>
      <c r="D162" s="108"/>
      <c r="E162" s="25"/>
      <c r="F162" s="25"/>
      <c r="G162" s="112" t="s">
        <v>435</v>
      </c>
      <c r="H162" s="112">
        <v>70</v>
      </c>
      <c r="I162" s="110">
        <v>1</v>
      </c>
      <c r="J162" s="110">
        <v>1</v>
      </c>
      <c r="K162" s="110">
        <v>3</v>
      </c>
      <c r="L162" s="110">
        <f t="shared" si="5"/>
        <v>210</v>
      </c>
      <c r="M162" s="111"/>
      <c r="N162" s="111"/>
    </row>
    <row r="163" spans="2:14" ht="15.75">
      <c r="B163" s="106">
        <v>161</v>
      </c>
      <c r="C163" s="107">
        <v>6</v>
      </c>
      <c r="D163" s="108"/>
      <c r="E163" s="25"/>
      <c r="F163" s="25"/>
      <c r="G163" s="112" t="s">
        <v>436</v>
      </c>
      <c r="H163" s="112">
        <v>0.88</v>
      </c>
      <c r="I163" s="110">
        <v>1</v>
      </c>
      <c r="J163" s="110">
        <v>1</v>
      </c>
      <c r="K163" s="110">
        <v>1</v>
      </c>
      <c r="L163" s="110">
        <f t="shared" si="5"/>
        <v>0.88</v>
      </c>
      <c r="M163" s="111"/>
      <c r="N163" s="111"/>
    </row>
    <row r="164" spans="2:14" ht="15.75">
      <c r="B164" s="106">
        <v>162</v>
      </c>
      <c r="C164" s="107">
        <v>6</v>
      </c>
      <c r="D164" s="108"/>
      <c r="E164" s="25"/>
      <c r="F164" s="25"/>
      <c r="G164" s="112" t="s">
        <v>437</v>
      </c>
      <c r="H164" s="112">
        <f>23.48-0.37</f>
        <v>23.11</v>
      </c>
      <c r="I164" s="110">
        <v>1</v>
      </c>
      <c r="J164" s="110">
        <v>1</v>
      </c>
      <c r="K164" s="110">
        <v>1</v>
      </c>
      <c r="L164" s="110">
        <f t="shared" si="5"/>
        <v>23.11</v>
      </c>
      <c r="M164" s="111"/>
      <c r="N164" s="111"/>
    </row>
    <row r="165" spans="2:14" ht="15.75">
      <c r="B165" s="106">
        <v>163</v>
      </c>
      <c r="C165" s="107">
        <v>6</v>
      </c>
      <c r="D165" s="108"/>
      <c r="E165" s="25"/>
      <c r="F165" s="25"/>
      <c r="G165" s="112" t="s">
        <v>438</v>
      </c>
      <c r="H165" s="112">
        <v>0.59</v>
      </c>
      <c r="I165" s="110">
        <v>1</v>
      </c>
      <c r="J165" s="110">
        <v>1</v>
      </c>
      <c r="K165" s="110">
        <v>1</v>
      </c>
      <c r="L165" s="110">
        <f t="shared" si="5"/>
        <v>0.59</v>
      </c>
      <c r="M165" s="111"/>
      <c r="N165" s="111"/>
    </row>
    <row r="166" spans="2:14" ht="15.75">
      <c r="B166" s="106">
        <v>164</v>
      </c>
      <c r="C166" s="107">
        <v>6</v>
      </c>
      <c r="D166" s="108"/>
      <c r="E166" s="25"/>
      <c r="F166" s="25"/>
      <c r="G166" s="110" t="s">
        <v>441</v>
      </c>
      <c r="H166" s="112" t="s">
        <v>671</v>
      </c>
      <c r="I166" s="110"/>
      <c r="J166" s="110"/>
      <c r="K166" s="110"/>
      <c r="L166" s="110"/>
      <c r="M166" s="111"/>
      <c r="N166" s="111"/>
    </row>
    <row r="167" spans="2:14" ht="15.75">
      <c r="B167" s="106">
        <v>165</v>
      </c>
      <c r="C167" s="107">
        <v>6</v>
      </c>
      <c r="D167" s="108"/>
      <c r="E167" s="25"/>
      <c r="F167" s="25"/>
      <c r="G167" s="112" t="s">
        <v>442</v>
      </c>
      <c r="H167" s="112">
        <v>6</v>
      </c>
      <c r="I167" s="110">
        <v>35</v>
      </c>
      <c r="J167" s="110">
        <v>1</v>
      </c>
      <c r="K167" s="110">
        <v>1</v>
      </c>
      <c r="L167" s="110">
        <f t="shared" si="5"/>
        <v>210</v>
      </c>
      <c r="M167" s="111"/>
      <c r="N167" s="111"/>
    </row>
    <row r="168" spans="2:14" ht="15.75">
      <c r="B168" s="106">
        <v>166</v>
      </c>
      <c r="C168" s="107">
        <v>6</v>
      </c>
      <c r="D168" s="108"/>
      <c r="E168" s="25"/>
      <c r="F168" s="25"/>
      <c r="G168" s="112" t="s">
        <v>435</v>
      </c>
      <c r="H168" s="112">
        <v>70</v>
      </c>
      <c r="I168" s="110">
        <v>1</v>
      </c>
      <c r="J168" s="110">
        <v>1</v>
      </c>
      <c r="K168" s="110">
        <v>1</v>
      </c>
      <c r="L168" s="110">
        <f t="shared" si="5"/>
        <v>70</v>
      </c>
      <c r="M168" s="111"/>
      <c r="N168" s="111"/>
    </row>
    <row r="169" spans="2:14" ht="15.75">
      <c r="B169" s="106">
        <v>167</v>
      </c>
      <c r="C169" s="107">
        <v>6</v>
      </c>
      <c r="D169" s="108"/>
      <c r="E169" s="25"/>
      <c r="F169" s="25"/>
      <c r="G169" s="112" t="s">
        <v>443</v>
      </c>
      <c r="H169" s="112">
        <v>8.33</v>
      </c>
      <c r="I169" s="112">
        <v>1.75</v>
      </c>
      <c r="J169" s="110">
        <v>1</v>
      </c>
      <c r="K169" s="110">
        <v>1</v>
      </c>
      <c r="L169" s="110">
        <f t="shared" si="5"/>
        <v>14.577500000000001</v>
      </c>
      <c r="M169" s="111"/>
      <c r="N169" s="111"/>
    </row>
    <row r="170" spans="2:14" ht="15.75">
      <c r="B170" s="106">
        <v>168</v>
      </c>
      <c r="C170" s="107">
        <v>6</v>
      </c>
      <c r="D170" s="108"/>
      <c r="E170" s="25"/>
      <c r="F170" s="25"/>
      <c r="G170" s="112" t="s">
        <v>444</v>
      </c>
      <c r="H170" s="112">
        <v>1.1100000000000001</v>
      </c>
      <c r="I170" s="110">
        <v>35</v>
      </c>
      <c r="J170" s="110">
        <v>1</v>
      </c>
      <c r="K170" s="110">
        <v>1</v>
      </c>
      <c r="L170" s="110">
        <f t="shared" si="5"/>
        <v>38.85</v>
      </c>
      <c r="M170" s="111"/>
      <c r="N170" s="111"/>
    </row>
    <row r="171" spans="2:14" ht="15.75">
      <c r="B171" s="106">
        <v>169</v>
      </c>
      <c r="C171" s="107">
        <v>6</v>
      </c>
      <c r="D171" s="108"/>
      <c r="E171" s="25"/>
      <c r="F171" s="25"/>
      <c r="G171" s="112" t="s">
        <v>445</v>
      </c>
      <c r="H171" s="112">
        <v>0.56000000000000005</v>
      </c>
      <c r="I171" s="110">
        <v>70</v>
      </c>
      <c r="J171" s="110">
        <v>1</v>
      </c>
      <c r="K171" s="110">
        <v>1</v>
      </c>
      <c r="L171" s="110">
        <f t="shared" si="5"/>
        <v>39.200000000000003</v>
      </c>
      <c r="M171" s="111"/>
      <c r="N171" s="111"/>
    </row>
    <row r="172" spans="2:14" ht="24">
      <c r="B172" s="106">
        <v>170</v>
      </c>
      <c r="C172" s="107">
        <v>6</v>
      </c>
      <c r="D172" s="108"/>
      <c r="E172" s="25"/>
      <c r="F172" s="25"/>
      <c r="G172" s="112" t="s">
        <v>542</v>
      </c>
      <c r="H172" s="112">
        <v>167</v>
      </c>
      <c r="I172" s="110">
        <v>1</v>
      </c>
      <c r="J172" s="110">
        <v>1</v>
      </c>
      <c r="K172" s="110">
        <v>1</v>
      </c>
      <c r="L172" s="110">
        <f t="shared" si="5"/>
        <v>167</v>
      </c>
      <c r="M172" s="111"/>
      <c r="N172" s="111"/>
    </row>
    <row r="173" spans="2:14" ht="15.75">
      <c r="B173" s="106">
        <v>171</v>
      </c>
      <c r="C173" s="107">
        <v>6</v>
      </c>
      <c r="D173" s="108"/>
      <c r="E173" s="25"/>
      <c r="F173" s="25"/>
      <c r="G173" s="110" t="s">
        <v>446</v>
      </c>
      <c r="H173" s="112">
        <v>16.670000000000002</v>
      </c>
      <c r="I173" s="110">
        <v>2</v>
      </c>
      <c r="J173" s="110">
        <v>1</v>
      </c>
      <c r="K173" s="110">
        <v>1</v>
      </c>
      <c r="L173" s="110">
        <f t="shared" si="5"/>
        <v>33.340000000000003</v>
      </c>
      <c r="M173" s="111"/>
      <c r="N173" s="111"/>
    </row>
    <row r="174" spans="2:14" ht="15.75">
      <c r="B174" s="106">
        <v>172</v>
      </c>
      <c r="C174" s="107">
        <v>6</v>
      </c>
      <c r="D174" s="108"/>
      <c r="E174" s="25"/>
      <c r="F174" s="25"/>
      <c r="G174" s="110" t="s">
        <v>447</v>
      </c>
      <c r="H174" s="112">
        <v>1.19</v>
      </c>
      <c r="I174" s="110">
        <v>10</v>
      </c>
      <c r="J174" s="110">
        <v>1</v>
      </c>
      <c r="K174" s="110">
        <v>3</v>
      </c>
      <c r="L174" s="110">
        <f t="shared" si="5"/>
        <v>35.699999999999996</v>
      </c>
      <c r="M174" s="111"/>
      <c r="N174" s="111"/>
    </row>
    <row r="175" spans="2:14" ht="36">
      <c r="B175" s="106">
        <v>173</v>
      </c>
      <c r="C175" s="107">
        <v>6</v>
      </c>
      <c r="D175" s="108"/>
      <c r="E175" s="25"/>
      <c r="F175" s="25"/>
      <c r="G175" s="110" t="s">
        <v>543</v>
      </c>
      <c r="H175" s="112" t="s">
        <v>671</v>
      </c>
      <c r="I175" s="110"/>
      <c r="J175" s="110"/>
      <c r="K175" s="110"/>
      <c r="L175" s="110"/>
      <c r="M175" s="111"/>
      <c r="N175" s="111"/>
    </row>
    <row r="176" spans="2:14" ht="15.75">
      <c r="B176" s="106">
        <v>174</v>
      </c>
      <c r="C176" s="107">
        <v>6</v>
      </c>
      <c r="D176" s="108"/>
      <c r="E176" s="25"/>
      <c r="F176" s="25"/>
      <c r="G176" s="112" t="s">
        <v>443</v>
      </c>
      <c r="H176" s="112">
        <v>8.33</v>
      </c>
      <c r="I176" s="112">
        <v>3</v>
      </c>
      <c r="J176" s="110">
        <v>1</v>
      </c>
      <c r="K176" s="110">
        <v>1</v>
      </c>
      <c r="L176" s="110">
        <f t="shared" si="5"/>
        <v>24.990000000000002</v>
      </c>
      <c r="M176" s="111"/>
      <c r="N176" s="111"/>
    </row>
    <row r="177" spans="2:14" ht="15.75">
      <c r="B177" s="106">
        <v>175</v>
      </c>
      <c r="C177" s="107">
        <v>6</v>
      </c>
      <c r="D177" s="108"/>
      <c r="E177" s="25"/>
      <c r="F177" s="25"/>
      <c r="G177" s="112" t="s">
        <v>444</v>
      </c>
      <c r="H177" s="112">
        <v>1.1100000000000001</v>
      </c>
      <c r="I177" s="110">
        <v>70</v>
      </c>
      <c r="J177" s="110">
        <v>1</v>
      </c>
      <c r="K177" s="110">
        <v>1</v>
      </c>
      <c r="L177" s="110">
        <f t="shared" si="5"/>
        <v>77.7</v>
      </c>
      <c r="M177" s="111"/>
      <c r="N177" s="111"/>
    </row>
    <row r="178" spans="2:14" ht="15.75">
      <c r="B178" s="106">
        <v>176</v>
      </c>
      <c r="C178" s="107">
        <v>6</v>
      </c>
      <c r="D178" s="108"/>
      <c r="E178" s="25"/>
      <c r="F178" s="25"/>
      <c r="G178" s="112" t="s">
        <v>445</v>
      </c>
      <c r="H178" s="112">
        <v>0.56000000000000005</v>
      </c>
      <c r="I178" s="110">
        <v>110</v>
      </c>
      <c r="J178" s="110">
        <v>1</v>
      </c>
      <c r="K178" s="110">
        <v>1</v>
      </c>
      <c r="L178" s="110">
        <f t="shared" si="5"/>
        <v>61.600000000000009</v>
      </c>
      <c r="M178" s="111"/>
      <c r="N178" s="111"/>
    </row>
    <row r="179" spans="2:14" ht="15.75">
      <c r="B179" s="106">
        <v>177</v>
      </c>
      <c r="C179" s="107">
        <v>6</v>
      </c>
      <c r="D179" s="108"/>
      <c r="E179" s="25"/>
      <c r="F179" s="25"/>
      <c r="G179" s="112" t="s">
        <v>458</v>
      </c>
      <c r="H179" s="112">
        <v>305.56</v>
      </c>
      <c r="I179" s="110">
        <v>1</v>
      </c>
      <c r="J179" s="110">
        <v>1</v>
      </c>
      <c r="K179" s="110">
        <v>1</v>
      </c>
      <c r="L179" s="110">
        <f t="shared" si="5"/>
        <v>305.56</v>
      </c>
      <c r="M179" s="111"/>
      <c r="N179" s="111"/>
    </row>
    <row r="180" spans="2:14" s="138" customFormat="1" ht="114.75">
      <c r="B180" s="126">
        <v>178</v>
      </c>
      <c r="C180" s="127">
        <v>7</v>
      </c>
      <c r="D180" s="135" t="s">
        <v>254</v>
      </c>
      <c r="E180" s="129" t="s">
        <v>682</v>
      </c>
      <c r="F180" s="136" t="s">
        <v>683</v>
      </c>
      <c r="G180" s="131" t="s">
        <v>547</v>
      </c>
      <c r="H180" s="137" t="s">
        <v>671</v>
      </c>
      <c r="I180" s="131"/>
      <c r="J180" s="131"/>
      <c r="K180" s="131"/>
      <c r="L180" s="139">
        <f>SUM(L181:L208)</f>
        <v>4963.0599999999995</v>
      </c>
      <c r="M180" s="133">
        <v>4963.0600000000004</v>
      </c>
      <c r="N180" s="134">
        <v>4963.0600000000004</v>
      </c>
    </row>
    <row r="181" spans="2:14" ht="15.75">
      <c r="B181" s="106">
        <v>179</v>
      </c>
      <c r="C181" s="107">
        <v>7</v>
      </c>
      <c r="D181" s="108"/>
      <c r="E181" s="25"/>
      <c r="F181" s="25"/>
      <c r="G181" s="110" t="s">
        <v>452</v>
      </c>
      <c r="H181" s="112" t="s">
        <v>671</v>
      </c>
      <c r="I181" s="110"/>
      <c r="J181" s="110"/>
      <c r="K181" s="110"/>
      <c r="L181" s="110"/>
      <c r="M181" s="111"/>
      <c r="N181" s="111"/>
    </row>
    <row r="182" spans="2:14" ht="15.75">
      <c r="B182" s="106">
        <v>180</v>
      </c>
      <c r="C182" s="107">
        <v>7</v>
      </c>
      <c r="D182" s="108"/>
      <c r="E182" s="25"/>
      <c r="F182" s="25"/>
      <c r="G182" s="112" t="s">
        <v>453</v>
      </c>
      <c r="H182" s="112">
        <v>25</v>
      </c>
      <c r="I182" s="110">
        <v>1</v>
      </c>
      <c r="J182" s="110">
        <v>1</v>
      </c>
      <c r="K182" s="110">
        <v>5</v>
      </c>
      <c r="L182" s="110">
        <f t="shared" ref="L182:L208" si="6">H182*I182*J182*K182</f>
        <v>125</v>
      </c>
      <c r="M182" s="111"/>
      <c r="N182" s="111"/>
    </row>
    <row r="183" spans="2:14" ht="15.75">
      <c r="B183" s="106">
        <v>181</v>
      </c>
      <c r="C183" s="107">
        <v>7</v>
      </c>
      <c r="D183" s="108"/>
      <c r="E183" s="25"/>
      <c r="F183" s="25"/>
      <c r="G183" s="112" t="s">
        <v>429</v>
      </c>
      <c r="H183" s="112">
        <v>4</v>
      </c>
      <c r="I183" s="110">
        <v>25</v>
      </c>
      <c r="J183" s="110">
        <v>1</v>
      </c>
      <c r="K183" s="110">
        <v>5</v>
      </c>
      <c r="L183" s="110">
        <f t="shared" si="6"/>
        <v>500</v>
      </c>
      <c r="M183" s="111"/>
      <c r="N183" s="111"/>
    </row>
    <row r="184" spans="2:14" ht="15.75">
      <c r="B184" s="106">
        <v>182</v>
      </c>
      <c r="C184" s="107">
        <v>7</v>
      </c>
      <c r="D184" s="108"/>
      <c r="E184" s="25"/>
      <c r="F184" s="25"/>
      <c r="G184" s="112" t="s">
        <v>430</v>
      </c>
      <c r="H184" s="112">
        <v>8</v>
      </c>
      <c r="I184" s="110">
        <v>25</v>
      </c>
      <c r="J184" s="110">
        <v>1</v>
      </c>
      <c r="K184" s="110">
        <v>5</v>
      </c>
      <c r="L184" s="110">
        <f t="shared" si="6"/>
        <v>1000</v>
      </c>
      <c r="M184" s="111"/>
      <c r="N184" s="111"/>
    </row>
    <row r="185" spans="2:14" ht="24">
      <c r="B185" s="106">
        <v>183</v>
      </c>
      <c r="C185" s="107">
        <v>7</v>
      </c>
      <c r="D185" s="108"/>
      <c r="E185" s="25"/>
      <c r="F185" s="25"/>
      <c r="G185" s="112" t="s">
        <v>431</v>
      </c>
      <c r="H185" s="112">
        <v>10</v>
      </c>
      <c r="I185" s="110">
        <v>25</v>
      </c>
      <c r="J185" s="110">
        <v>1</v>
      </c>
      <c r="K185" s="110">
        <v>5</v>
      </c>
      <c r="L185" s="110">
        <f t="shared" si="6"/>
        <v>1250</v>
      </c>
      <c r="M185" s="111"/>
      <c r="N185" s="111"/>
    </row>
    <row r="186" spans="2:14" ht="15.75">
      <c r="B186" s="106">
        <v>184</v>
      </c>
      <c r="C186" s="107">
        <v>7</v>
      </c>
      <c r="D186" s="108"/>
      <c r="E186" s="25"/>
      <c r="F186" s="25"/>
      <c r="G186" s="112" t="s">
        <v>432</v>
      </c>
      <c r="H186" s="112">
        <v>8</v>
      </c>
      <c r="I186" s="110">
        <v>1</v>
      </c>
      <c r="J186" s="110">
        <v>1</v>
      </c>
      <c r="K186" s="110">
        <v>5</v>
      </c>
      <c r="L186" s="110">
        <f t="shared" si="6"/>
        <v>40</v>
      </c>
      <c r="M186" s="111"/>
      <c r="N186" s="111"/>
    </row>
    <row r="187" spans="2:14" ht="15.75">
      <c r="B187" s="106">
        <v>185</v>
      </c>
      <c r="C187" s="107">
        <v>7</v>
      </c>
      <c r="D187" s="108"/>
      <c r="E187" s="25"/>
      <c r="F187" s="25"/>
      <c r="G187" s="112" t="s">
        <v>433</v>
      </c>
      <c r="H187" s="112">
        <v>10</v>
      </c>
      <c r="I187" s="110">
        <v>1</v>
      </c>
      <c r="J187" s="110">
        <v>1</v>
      </c>
      <c r="K187" s="110">
        <v>5</v>
      </c>
      <c r="L187" s="110">
        <f t="shared" si="6"/>
        <v>50</v>
      </c>
      <c r="M187" s="111"/>
      <c r="N187" s="111"/>
    </row>
    <row r="188" spans="2:14" ht="15.75">
      <c r="B188" s="106">
        <v>186</v>
      </c>
      <c r="C188" s="107">
        <v>7</v>
      </c>
      <c r="D188" s="108"/>
      <c r="E188" s="25"/>
      <c r="F188" s="25"/>
      <c r="G188" s="112" t="s">
        <v>434</v>
      </c>
      <c r="H188" s="112">
        <v>10</v>
      </c>
      <c r="I188" s="110">
        <v>25</v>
      </c>
      <c r="J188" s="110">
        <v>1</v>
      </c>
      <c r="K188" s="110">
        <v>1</v>
      </c>
      <c r="L188" s="110">
        <f t="shared" si="6"/>
        <v>250</v>
      </c>
      <c r="M188" s="111"/>
      <c r="N188" s="111"/>
    </row>
    <row r="189" spans="2:14" ht="15.75">
      <c r="B189" s="106">
        <v>187</v>
      </c>
      <c r="C189" s="107">
        <v>7</v>
      </c>
      <c r="D189" s="108"/>
      <c r="E189" s="25"/>
      <c r="F189" s="25"/>
      <c r="G189" s="112" t="s">
        <v>435</v>
      </c>
      <c r="H189" s="112">
        <v>70</v>
      </c>
      <c r="I189" s="110">
        <v>1</v>
      </c>
      <c r="J189" s="110">
        <v>1</v>
      </c>
      <c r="K189" s="110">
        <v>5</v>
      </c>
      <c r="L189" s="110">
        <f t="shared" si="6"/>
        <v>350</v>
      </c>
      <c r="M189" s="111"/>
      <c r="N189" s="111"/>
    </row>
    <row r="190" spans="2:14" ht="15.75">
      <c r="B190" s="106">
        <v>188</v>
      </c>
      <c r="C190" s="107">
        <v>7</v>
      </c>
      <c r="D190" s="108"/>
      <c r="E190" s="25"/>
      <c r="F190" s="25"/>
      <c r="G190" s="112" t="s">
        <v>436</v>
      </c>
      <c r="H190" s="112">
        <v>0.88</v>
      </c>
      <c r="I190" s="110">
        <v>1</v>
      </c>
      <c r="J190" s="110">
        <v>1</v>
      </c>
      <c r="K190" s="110">
        <v>1</v>
      </c>
      <c r="L190" s="110">
        <f t="shared" si="6"/>
        <v>0.88</v>
      </c>
      <c r="M190" s="111"/>
      <c r="N190" s="111"/>
    </row>
    <row r="191" spans="2:14" ht="15.75">
      <c r="B191" s="106">
        <v>189</v>
      </c>
      <c r="C191" s="107">
        <v>7</v>
      </c>
      <c r="D191" s="108"/>
      <c r="E191" s="25"/>
      <c r="F191" s="25"/>
      <c r="G191" s="112" t="s">
        <v>437</v>
      </c>
      <c r="H191" s="112">
        <v>23.1</v>
      </c>
      <c r="I191" s="110">
        <v>1</v>
      </c>
      <c r="J191" s="110">
        <v>1</v>
      </c>
      <c r="K191" s="110">
        <v>1</v>
      </c>
      <c r="L191" s="110">
        <f t="shared" si="6"/>
        <v>23.1</v>
      </c>
      <c r="M191" s="111"/>
      <c r="N191" s="111"/>
    </row>
    <row r="192" spans="2:14" ht="15.75">
      <c r="B192" s="106">
        <v>190</v>
      </c>
      <c r="C192" s="107">
        <v>7</v>
      </c>
      <c r="D192" s="108"/>
      <c r="E192" s="25"/>
      <c r="F192" s="25"/>
      <c r="G192" s="112" t="s">
        <v>438</v>
      </c>
      <c r="H192" s="112">
        <v>0.59</v>
      </c>
      <c r="I192" s="110">
        <v>1</v>
      </c>
      <c r="J192" s="110">
        <v>1</v>
      </c>
      <c r="K192" s="110">
        <v>1</v>
      </c>
      <c r="L192" s="110">
        <f t="shared" si="6"/>
        <v>0.59</v>
      </c>
      <c r="M192" s="111"/>
      <c r="N192" s="111"/>
    </row>
    <row r="193" spans="2:14" ht="15.75">
      <c r="B193" s="106">
        <v>191</v>
      </c>
      <c r="C193" s="107">
        <v>7</v>
      </c>
      <c r="D193" s="108"/>
      <c r="E193" s="25"/>
      <c r="F193" s="25"/>
      <c r="G193" s="110" t="s">
        <v>441</v>
      </c>
      <c r="H193" s="112" t="s">
        <v>671</v>
      </c>
      <c r="I193" s="110"/>
      <c r="J193" s="110"/>
      <c r="K193" s="110"/>
      <c r="L193" s="110"/>
      <c r="M193" s="111"/>
      <c r="N193" s="111"/>
    </row>
    <row r="194" spans="2:14" ht="15.75">
      <c r="B194" s="106">
        <v>192</v>
      </c>
      <c r="C194" s="107">
        <v>7</v>
      </c>
      <c r="D194" s="108"/>
      <c r="E194" s="25"/>
      <c r="F194" s="25"/>
      <c r="G194" s="112" t="s">
        <v>442</v>
      </c>
      <c r="H194" s="112">
        <v>6</v>
      </c>
      <c r="I194" s="110">
        <v>35</v>
      </c>
      <c r="J194" s="110">
        <v>1</v>
      </c>
      <c r="K194" s="110">
        <v>1</v>
      </c>
      <c r="L194" s="110">
        <f t="shared" si="6"/>
        <v>210</v>
      </c>
      <c r="M194" s="111"/>
      <c r="N194" s="111"/>
    </row>
    <row r="195" spans="2:14" ht="15.75">
      <c r="B195" s="106">
        <v>193</v>
      </c>
      <c r="C195" s="107">
        <v>7</v>
      </c>
      <c r="D195" s="108"/>
      <c r="E195" s="25"/>
      <c r="F195" s="25"/>
      <c r="G195" s="112" t="s">
        <v>454</v>
      </c>
      <c r="H195" s="112" t="s">
        <v>671</v>
      </c>
      <c r="I195" s="110"/>
      <c r="J195" s="110"/>
      <c r="K195" s="110"/>
      <c r="L195" s="110"/>
      <c r="M195" s="111"/>
      <c r="N195" s="111"/>
    </row>
    <row r="196" spans="2:14" ht="15.75">
      <c r="B196" s="106">
        <v>194</v>
      </c>
      <c r="C196" s="107">
        <v>7</v>
      </c>
      <c r="D196" s="108"/>
      <c r="E196" s="25"/>
      <c r="F196" s="25"/>
      <c r="G196" s="112" t="s">
        <v>455</v>
      </c>
      <c r="H196" s="112">
        <v>260</v>
      </c>
      <c r="I196" s="110">
        <v>1</v>
      </c>
      <c r="J196" s="110">
        <v>1</v>
      </c>
      <c r="K196" s="110">
        <v>1</v>
      </c>
      <c r="L196" s="110">
        <f t="shared" si="6"/>
        <v>260</v>
      </c>
      <c r="M196" s="111"/>
      <c r="N196" s="111"/>
    </row>
    <row r="197" spans="2:14" ht="15.75">
      <c r="B197" s="106">
        <v>195</v>
      </c>
      <c r="C197" s="107">
        <v>7</v>
      </c>
      <c r="D197" s="108"/>
      <c r="E197" s="25"/>
      <c r="F197" s="25"/>
      <c r="G197" s="112" t="s">
        <v>435</v>
      </c>
      <c r="H197" s="112">
        <v>70</v>
      </c>
      <c r="I197" s="110">
        <v>1</v>
      </c>
      <c r="J197" s="110">
        <v>1</v>
      </c>
      <c r="K197" s="110">
        <v>1</v>
      </c>
      <c r="L197" s="110">
        <f t="shared" si="6"/>
        <v>70</v>
      </c>
      <c r="M197" s="111"/>
      <c r="N197" s="111"/>
    </row>
    <row r="198" spans="2:14" ht="15.75">
      <c r="B198" s="106">
        <v>196</v>
      </c>
      <c r="C198" s="107">
        <v>7</v>
      </c>
      <c r="D198" s="108"/>
      <c r="E198" s="25"/>
      <c r="F198" s="25"/>
      <c r="G198" s="112" t="s">
        <v>443</v>
      </c>
      <c r="H198" s="112">
        <v>8.33</v>
      </c>
      <c r="I198" s="112">
        <v>4</v>
      </c>
      <c r="J198" s="110">
        <v>1</v>
      </c>
      <c r="K198" s="110">
        <v>1</v>
      </c>
      <c r="L198" s="110">
        <f t="shared" si="6"/>
        <v>33.32</v>
      </c>
      <c r="M198" s="111"/>
      <c r="N198" s="111"/>
    </row>
    <row r="199" spans="2:14" ht="15.75">
      <c r="B199" s="106">
        <v>197</v>
      </c>
      <c r="C199" s="107">
        <v>7</v>
      </c>
      <c r="D199" s="108"/>
      <c r="E199" s="25"/>
      <c r="F199" s="25"/>
      <c r="G199" s="112" t="s">
        <v>444</v>
      </c>
      <c r="H199" s="112">
        <v>1.1100000000000001</v>
      </c>
      <c r="I199" s="110">
        <v>35</v>
      </c>
      <c r="J199" s="110">
        <v>1</v>
      </c>
      <c r="K199" s="110">
        <v>1</v>
      </c>
      <c r="L199" s="110">
        <f t="shared" si="6"/>
        <v>38.85</v>
      </c>
      <c r="M199" s="111"/>
      <c r="N199" s="111"/>
    </row>
    <row r="200" spans="2:14" ht="15.75">
      <c r="B200" s="106">
        <v>198</v>
      </c>
      <c r="C200" s="107">
        <v>7</v>
      </c>
      <c r="D200" s="108"/>
      <c r="E200" s="25"/>
      <c r="F200" s="25"/>
      <c r="G200" s="112" t="s">
        <v>456</v>
      </c>
      <c r="H200" s="112">
        <v>0.56000000000000005</v>
      </c>
      <c r="I200" s="110">
        <v>70</v>
      </c>
      <c r="J200" s="110">
        <v>1</v>
      </c>
      <c r="K200" s="110">
        <v>1</v>
      </c>
      <c r="L200" s="110">
        <f t="shared" si="6"/>
        <v>39.200000000000003</v>
      </c>
      <c r="M200" s="111"/>
      <c r="N200" s="111"/>
    </row>
    <row r="201" spans="2:14" ht="15.75">
      <c r="B201" s="106">
        <v>199</v>
      </c>
      <c r="C201" s="107">
        <v>7</v>
      </c>
      <c r="D201" s="108"/>
      <c r="E201" s="25"/>
      <c r="F201" s="25"/>
      <c r="G201" s="112" t="s">
        <v>457</v>
      </c>
      <c r="H201" s="112">
        <v>167</v>
      </c>
      <c r="I201" s="110">
        <v>1</v>
      </c>
      <c r="J201" s="110">
        <v>1</v>
      </c>
      <c r="K201" s="110">
        <v>1</v>
      </c>
      <c r="L201" s="110">
        <f t="shared" si="6"/>
        <v>167</v>
      </c>
      <c r="M201" s="111"/>
      <c r="N201" s="111"/>
    </row>
    <row r="202" spans="2:14" ht="24">
      <c r="B202" s="106">
        <v>200</v>
      </c>
      <c r="C202" s="107">
        <v>7</v>
      </c>
      <c r="D202" s="108"/>
      <c r="E202" s="25"/>
      <c r="F202" s="25"/>
      <c r="G202" s="110" t="s">
        <v>545</v>
      </c>
      <c r="H202" s="112" t="s">
        <v>671</v>
      </c>
      <c r="I202" s="110"/>
      <c r="J202" s="110"/>
      <c r="K202" s="110"/>
      <c r="L202" s="110"/>
      <c r="M202" s="111"/>
      <c r="N202" s="111"/>
    </row>
    <row r="203" spans="2:14" ht="15.75">
      <c r="B203" s="106">
        <v>201</v>
      </c>
      <c r="C203" s="107">
        <v>7</v>
      </c>
      <c r="D203" s="108"/>
      <c r="E203" s="25"/>
      <c r="F203" s="25"/>
      <c r="G203" s="112" t="s">
        <v>443</v>
      </c>
      <c r="H203" s="112">
        <v>8.33</v>
      </c>
      <c r="I203" s="112">
        <v>4</v>
      </c>
      <c r="J203" s="110">
        <v>1</v>
      </c>
      <c r="K203" s="110">
        <v>1</v>
      </c>
      <c r="L203" s="110">
        <f t="shared" si="6"/>
        <v>33.32</v>
      </c>
      <c r="M203" s="111"/>
      <c r="N203" s="111"/>
    </row>
    <row r="204" spans="2:14" ht="15.75">
      <c r="B204" s="106">
        <v>202</v>
      </c>
      <c r="C204" s="107">
        <v>7</v>
      </c>
      <c r="D204" s="108"/>
      <c r="E204" s="25"/>
      <c r="F204" s="25"/>
      <c r="G204" s="112" t="s">
        <v>444</v>
      </c>
      <c r="H204" s="112">
        <v>1.1100000000000001</v>
      </c>
      <c r="I204" s="110">
        <v>50</v>
      </c>
      <c r="J204" s="110">
        <v>1</v>
      </c>
      <c r="K204" s="110">
        <v>1</v>
      </c>
      <c r="L204" s="110">
        <f t="shared" si="6"/>
        <v>55.500000000000007</v>
      </c>
      <c r="M204" s="111"/>
      <c r="N204" s="111"/>
    </row>
    <row r="205" spans="2:14" ht="15.75">
      <c r="B205" s="106">
        <v>203</v>
      </c>
      <c r="C205" s="107">
        <v>7</v>
      </c>
      <c r="D205" s="108"/>
      <c r="E205" s="25"/>
      <c r="F205" s="25"/>
      <c r="G205" s="112" t="s">
        <v>456</v>
      </c>
      <c r="H205" s="112">
        <v>0.56000000000000005</v>
      </c>
      <c r="I205" s="110">
        <v>100</v>
      </c>
      <c r="J205" s="110">
        <v>1</v>
      </c>
      <c r="K205" s="110">
        <v>1</v>
      </c>
      <c r="L205" s="110">
        <f t="shared" si="6"/>
        <v>56.000000000000007</v>
      </c>
      <c r="M205" s="111"/>
      <c r="N205" s="111"/>
    </row>
    <row r="206" spans="2:14" ht="15.75">
      <c r="B206" s="106">
        <v>204</v>
      </c>
      <c r="C206" s="107">
        <v>7</v>
      </c>
      <c r="D206" s="108"/>
      <c r="E206" s="25"/>
      <c r="F206" s="25"/>
      <c r="G206" s="112" t="s">
        <v>458</v>
      </c>
      <c r="H206" s="112">
        <v>305.56</v>
      </c>
      <c r="I206" s="110">
        <v>1</v>
      </c>
      <c r="J206" s="110">
        <v>1</v>
      </c>
      <c r="K206" s="110">
        <v>1</v>
      </c>
      <c r="L206" s="110">
        <f t="shared" si="6"/>
        <v>305.56</v>
      </c>
      <c r="M206" s="111"/>
      <c r="N206" s="111"/>
    </row>
    <row r="207" spans="2:14" ht="15.75">
      <c r="B207" s="106">
        <v>205</v>
      </c>
      <c r="C207" s="107">
        <v>7</v>
      </c>
      <c r="D207" s="108"/>
      <c r="E207" s="25"/>
      <c r="F207" s="25"/>
      <c r="G207" s="110" t="s">
        <v>447</v>
      </c>
      <c r="H207" s="112">
        <v>1.19</v>
      </c>
      <c r="I207" s="110">
        <v>10</v>
      </c>
      <c r="J207" s="110">
        <v>1</v>
      </c>
      <c r="K207" s="110">
        <v>6</v>
      </c>
      <c r="L207" s="110">
        <f t="shared" si="6"/>
        <v>71.399999999999991</v>
      </c>
      <c r="M207" s="111"/>
      <c r="N207" s="111"/>
    </row>
    <row r="208" spans="2:14" ht="15.75">
      <c r="B208" s="106">
        <v>206</v>
      </c>
      <c r="C208" s="107">
        <v>7</v>
      </c>
      <c r="D208" s="108"/>
      <c r="E208" s="25"/>
      <c r="F208" s="25"/>
      <c r="G208" s="110" t="s">
        <v>459</v>
      </c>
      <c r="H208" s="112">
        <v>16.670000000000002</v>
      </c>
      <c r="I208" s="110">
        <v>2</v>
      </c>
      <c r="J208" s="110">
        <v>1</v>
      </c>
      <c r="K208" s="110">
        <v>1</v>
      </c>
      <c r="L208" s="110">
        <f t="shared" si="6"/>
        <v>33.340000000000003</v>
      </c>
      <c r="M208" s="111"/>
      <c r="N208" s="111"/>
    </row>
    <row r="209" spans="2:14" s="138" customFormat="1" ht="51">
      <c r="B209" s="126">
        <v>207</v>
      </c>
      <c r="C209" s="127">
        <v>8</v>
      </c>
      <c r="D209" s="135" t="s">
        <v>252</v>
      </c>
      <c r="E209" s="129" t="s">
        <v>684</v>
      </c>
      <c r="F209" s="136" t="s">
        <v>685</v>
      </c>
      <c r="G209" s="131" t="s">
        <v>251</v>
      </c>
      <c r="H209" s="137" t="s">
        <v>671</v>
      </c>
      <c r="I209" s="131"/>
      <c r="J209" s="131"/>
      <c r="K209" s="131"/>
      <c r="L209" s="139">
        <f>SUM(L210:L215)</f>
        <v>582.78000000000009</v>
      </c>
      <c r="M209" s="133">
        <v>1165.56</v>
      </c>
      <c r="N209" s="134">
        <v>1165.56</v>
      </c>
    </row>
    <row r="210" spans="2:14" ht="15.75">
      <c r="B210" s="106">
        <v>208</v>
      </c>
      <c r="C210" s="107">
        <v>8</v>
      </c>
      <c r="D210" s="108"/>
      <c r="E210" s="25"/>
      <c r="F210" s="25"/>
      <c r="G210" s="112" t="s">
        <v>443</v>
      </c>
      <c r="H210" s="112">
        <v>8.33</v>
      </c>
      <c r="I210" s="112">
        <v>4</v>
      </c>
      <c r="J210" s="110">
        <v>1</v>
      </c>
      <c r="K210" s="110">
        <v>1</v>
      </c>
      <c r="L210" s="110">
        <f t="shared" ref="L210:L279" si="7">H210*I210*J210*K210</f>
        <v>33.32</v>
      </c>
      <c r="M210" s="111"/>
      <c r="N210" s="111"/>
    </row>
    <row r="211" spans="2:14" ht="15.75">
      <c r="B211" s="106">
        <v>209</v>
      </c>
      <c r="C211" s="107">
        <v>8</v>
      </c>
      <c r="D211" s="108"/>
      <c r="E211" s="25"/>
      <c r="F211" s="25"/>
      <c r="G211" s="112" t="s">
        <v>444</v>
      </c>
      <c r="H211" s="112">
        <v>1.1100000000000001</v>
      </c>
      <c r="I211" s="110">
        <v>70</v>
      </c>
      <c r="J211" s="110">
        <v>1</v>
      </c>
      <c r="K211" s="110">
        <v>1</v>
      </c>
      <c r="L211" s="110">
        <f t="shared" si="7"/>
        <v>77.7</v>
      </c>
      <c r="M211" s="111"/>
      <c r="N211" s="111"/>
    </row>
    <row r="212" spans="2:14" ht="15.75">
      <c r="B212" s="106">
        <v>210</v>
      </c>
      <c r="C212" s="107">
        <v>8</v>
      </c>
      <c r="D212" s="108"/>
      <c r="E212" s="25"/>
      <c r="F212" s="25"/>
      <c r="G212" s="112" t="s">
        <v>456</v>
      </c>
      <c r="H212" s="112">
        <v>0.56000000000000005</v>
      </c>
      <c r="I212" s="110">
        <v>110</v>
      </c>
      <c r="J212" s="110">
        <v>1</v>
      </c>
      <c r="K212" s="110">
        <v>1</v>
      </c>
      <c r="L212" s="110">
        <f t="shared" si="7"/>
        <v>61.600000000000009</v>
      </c>
      <c r="M212" s="111"/>
      <c r="N212" s="111"/>
    </row>
    <row r="213" spans="2:14" ht="15.75">
      <c r="B213" s="106">
        <v>211</v>
      </c>
      <c r="C213" s="107">
        <v>8</v>
      </c>
      <c r="D213" s="108"/>
      <c r="E213" s="25"/>
      <c r="F213" s="25"/>
      <c r="G213" s="112" t="s">
        <v>458</v>
      </c>
      <c r="H213" s="112">
        <f>305.42</f>
        <v>305.42</v>
      </c>
      <c r="I213" s="110">
        <v>1</v>
      </c>
      <c r="J213" s="110">
        <v>1</v>
      </c>
      <c r="K213" s="110">
        <v>1</v>
      </c>
      <c r="L213" s="110">
        <f t="shared" si="7"/>
        <v>305.42</v>
      </c>
      <c r="M213" s="111"/>
      <c r="N213" s="111"/>
    </row>
    <row r="214" spans="2:14" ht="15.75">
      <c r="B214" s="106">
        <v>212</v>
      </c>
      <c r="C214" s="107">
        <v>8</v>
      </c>
      <c r="D214" s="108"/>
      <c r="E214" s="25"/>
      <c r="F214" s="25"/>
      <c r="G214" s="110" t="s">
        <v>447</v>
      </c>
      <c r="H214" s="112">
        <v>1.19</v>
      </c>
      <c r="I214" s="110">
        <v>10</v>
      </c>
      <c r="J214" s="110">
        <v>1</v>
      </c>
      <c r="K214" s="110">
        <v>6</v>
      </c>
      <c r="L214" s="110">
        <f t="shared" si="7"/>
        <v>71.399999999999991</v>
      </c>
      <c r="M214" s="111"/>
      <c r="N214" s="111"/>
    </row>
    <row r="215" spans="2:14" ht="15.75">
      <c r="B215" s="106">
        <v>213</v>
      </c>
      <c r="C215" s="107">
        <v>8</v>
      </c>
      <c r="D215" s="108"/>
      <c r="E215" s="25"/>
      <c r="F215" s="25"/>
      <c r="G215" s="110" t="s">
        <v>459</v>
      </c>
      <c r="H215" s="112">
        <v>16.670000000000002</v>
      </c>
      <c r="I215" s="110">
        <v>2</v>
      </c>
      <c r="J215" s="110">
        <v>1</v>
      </c>
      <c r="K215" s="110">
        <v>1</v>
      </c>
      <c r="L215" s="110">
        <f>H215*I215*J215*K215</f>
        <v>33.340000000000003</v>
      </c>
      <c r="M215" s="111"/>
      <c r="N215" s="111"/>
    </row>
    <row r="216" spans="2:14" s="138" customFormat="1" ht="38.25">
      <c r="B216" s="126">
        <v>214</v>
      </c>
      <c r="C216" s="127">
        <v>9</v>
      </c>
      <c r="D216" s="135" t="s">
        <v>250</v>
      </c>
      <c r="E216" s="129" t="s">
        <v>686</v>
      </c>
      <c r="F216" s="136" t="s">
        <v>687</v>
      </c>
      <c r="G216" s="131" t="s">
        <v>561</v>
      </c>
      <c r="H216" s="137" t="s">
        <v>671</v>
      </c>
      <c r="I216" s="131"/>
      <c r="J216" s="131"/>
      <c r="K216" s="131"/>
      <c r="L216" s="139">
        <f>SUM(L217:L232)</f>
        <v>2058.5600000000004</v>
      </c>
      <c r="M216" s="133">
        <v>4117.1099999999997</v>
      </c>
      <c r="N216" s="134">
        <v>2058.56</v>
      </c>
    </row>
    <row r="217" spans="2:14" ht="15.75">
      <c r="B217" s="106">
        <v>215</v>
      </c>
      <c r="C217" s="107">
        <v>9</v>
      </c>
      <c r="D217" s="108"/>
      <c r="E217" s="25"/>
      <c r="F217" s="25"/>
      <c r="G217" s="112" t="s">
        <v>453</v>
      </c>
      <c r="H217" s="112">
        <v>25</v>
      </c>
      <c r="I217" s="110">
        <v>1</v>
      </c>
      <c r="J217" s="110">
        <v>1</v>
      </c>
      <c r="K217" s="112">
        <v>3</v>
      </c>
      <c r="L217" s="110">
        <f t="shared" si="7"/>
        <v>75</v>
      </c>
      <c r="M217" s="111"/>
      <c r="N217" s="111"/>
    </row>
    <row r="218" spans="2:14" ht="15.75">
      <c r="B218" s="106">
        <v>216</v>
      </c>
      <c r="C218" s="107">
        <v>9</v>
      </c>
      <c r="D218" s="108"/>
      <c r="E218" s="25"/>
      <c r="F218" s="25"/>
      <c r="G218" s="112" t="s">
        <v>429</v>
      </c>
      <c r="H218" s="112">
        <v>4</v>
      </c>
      <c r="I218" s="110">
        <v>19</v>
      </c>
      <c r="J218" s="110">
        <v>1</v>
      </c>
      <c r="K218" s="112">
        <v>3</v>
      </c>
      <c r="L218" s="110">
        <f t="shared" si="7"/>
        <v>228</v>
      </c>
      <c r="M218" s="111"/>
      <c r="N218" s="111"/>
    </row>
    <row r="219" spans="2:14" ht="15.75">
      <c r="B219" s="106">
        <v>217</v>
      </c>
      <c r="C219" s="107">
        <v>9</v>
      </c>
      <c r="D219" s="108"/>
      <c r="E219" s="25"/>
      <c r="F219" s="25"/>
      <c r="G219" s="112" t="s">
        <v>430</v>
      </c>
      <c r="H219" s="112">
        <v>8</v>
      </c>
      <c r="I219" s="110">
        <v>19</v>
      </c>
      <c r="J219" s="110">
        <v>1</v>
      </c>
      <c r="K219" s="112">
        <v>3</v>
      </c>
      <c r="L219" s="110">
        <f t="shared" si="7"/>
        <v>456</v>
      </c>
      <c r="M219" s="111"/>
      <c r="N219" s="111"/>
    </row>
    <row r="220" spans="2:14" ht="24">
      <c r="B220" s="106">
        <v>218</v>
      </c>
      <c r="C220" s="107">
        <v>9</v>
      </c>
      <c r="D220" s="108"/>
      <c r="E220" s="25"/>
      <c r="F220" s="25"/>
      <c r="G220" s="112" t="s">
        <v>431</v>
      </c>
      <c r="H220" s="112">
        <v>10</v>
      </c>
      <c r="I220" s="110">
        <v>15</v>
      </c>
      <c r="J220" s="110">
        <v>1</v>
      </c>
      <c r="K220" s="112">
        <v>3</v>
      </c>
      <c r="L220" s="110">
        <f t="shared" si="7"/>
        <v>450</v>
      </c>
      <c r="M220" s="111"/>
      <c r="N220" s="111"/>
    </row>
    <row r="221" spans="2:14" ht="15.75">
      <c r="B221" s="106">
        <v>219</v>
      </c>
      <c r="C221" s="107">
        <v>9</v>
      </c>
      <c r="D221" s="108"/>
      <c r="E221" s="25"/>
      <c r="F221" s="25"/>
      <c r="G221" s="112" t="s">
        <v>432</v>
      </c>
      <c r="H221" s="112">
        <v>8</v>
      </c>
      <c r="I221" s="110">
        <v>1</v>
      </c>
      <c r="J221" s="110">
        <v>1</v>
      </c>
      <c r="K221" s="112">
        <v>3</v>
      </c>
      <c r="L221" s="110">
        <f t="shared" si="7"/>
        <v>24</v>
      </c>
      <c r="M221" s="111"/>
      <c r="N221" s="111"/>
    </row>
    <row r="222" spans="2:14" ht="15.75">
      <c r="B222" s="106">
        <v>220</v>
      </c>
      <c r="C222" s="107">
        <v>9</v>
      </c>
      <c r="D222" s="108"/>
      <c r="E222" s="25"/>
      <c r="F222" s="25"/>
      <c r="G222" s="112" t="s">
        <v>434</v>
      </c>
      <c r="H222" s="112">
        <v>10</v>
      </c>
      <c r="I222" s="110">
        <v>15</v>
      </c>
      <c r="J222" s="110">
        <v>1</v>
      </c>
      <c r="K222" s="112">
        <v>1</v>
      </c>
      <c r="L222" s="110">
        <f t="shared" si="7"/>
        <v>150</v>
      </c>
      <c r="M222" s="111"/>
      <c r="N222" s="111"/>
    </row>
    <row r="223" spans="2:14" ht="15.75">
      <c r="B223" s="106">
        <v>221</v>
      </c>
      <c r="C223" s="107">
        <v>9</v>
      </c>
      <c r="D223" s="108"/>
      <c r="E223" s="25"/>
      <c r="F223" s="25"/>
      <c r="G223" s="112" t="s">
        <v>435</v>
      </c>
      <c r="H223" s="112">
        <v>70</v>
      </c>
      <c r="I223" s="110">
        <v>1</v>
      </c>
      <c r="J223" s="110">
        <v>1</v>
      </c>
      <c r="K223" s="112">
        <v>1</v>
      </c>
      <c r="L223" s="110">
        <f t="shared" si="7"/>
        <v>70</v>
      </c>
      <c r="M223" s="111"/>
      <c r="N223" s="111"/>
    </row>
    <row r="224" spans="2:14" ht="15.75">
      <c r="B224" s="106">
        <v>222</v>
      </c>
      <c r="C224" s="107">
        <v>9</v>
      </c>
      <c r="D224" s="108"/>
      <c r="E224" s="25"/>
      <c r="F224" s="25"/>
      <c r="G224" s="112"/>
      <c r="H224" s="112" t="s">
        <v>671</v>
      </c>
      <c r="I224" s="110"/>
      <c r="J224" s="110"/>
      <c r="K224" s="112"/>
      <c r="L224" s="110"/>
      <c r="M224" s="111"/>
      <c r="N224" s="111"/>
    </row>
    <row r="225" spans="2:14" ht="15.75">
      <c r="B225" s="106">
        <v>223</v>
      </c>
      <c r="C225" s="107">
        <v>9</v>
      </c>
      <c r="D225" s="108"/>
      <c r="E225" s="25"/>
      <c r="F225" s="25"/>
      <c r="G225" s="112" t="s">
        <v>447</v>
      </c>
      <c r="H225" s="112">
        <v>1.19</v>
      </c>
      <c r="I225" s="110">
        <v>10</v>
      </c>
      <c r="J225" s="110">
        <v>1</v>
      </c>
      <c r="K225" s="112">
        <v>3</v>
      </c>
      <c r="L225" s="110">
        <f t="shared" si="7"/>
        <v>35.699999999999996</v>
      </c>
      <c r="M225" s="111"/>
      <c r="N225" s="111"/>
    </row>
    <row r="226" spans="2:14" ht="15.75">
      <c r="B226" s="106">
        <v>224</v>
      </c>
      <c r="C226" s="107">
        <v>9</v>
      </c>
      <c r="D226" s="108"/>
      <c r="E226" s="25"/>
      <c r="F226" s="25"/>
      <c r="G226" s="112" t="s">
        <v>459</v>
      </c>
      <c r="H226" s="112">
        <v>16.670000000000002</v>
      </c>
      <c r="I226" s="112">
        <v>1</v>
      </c>
      <c r="J226" s="112">
        <v>1</v>
      </c>
      <c r="K226" s="112">
        <v>1</v>
      </c>
      <c r="L226" s="110">
        <f t="shared" si="7"/>
        <v>16.670000000000002</v>
      </c>
      <c r="M226" s="111"/>
      <c r="N226" s="111"/>
    </row>
    <row r="227" spans="2:14" ht="24">
      <c r="B227" s="106">
        <v>225</v>
      </c>
      <c r="C227" s="107">
        <v>9</v>
      </c>
      <c r="D227" s="108"/>
      <c r="E227" s="25"/>
      <c r="F227" s="25"/>
      <c r="G227" s="110" t="s">
        <v>562</v>
      </c>
      <c r="H227" s="112" t="s">
        <v>671</v>
      </c>
      <c r="I227" s="110"/>
      <c r="J227" s="110"/>
      <c r="K227" s="110"/>
      <c r="L227" s="110"/>
      <c r="M227" s="111"/>
      <c r="N227" s="111"/>
    </row>
    <row r="228" spans="2:14" ht="15.75">
      <c r="B228" s="106">
        <v>226</v>
      </c>
      <c r="C228" s="107">
        <v>9</v>
      </c>
      <c r="D228" s="108"/>
      <c r="E228" s="25"/>
      <c r="F228" s="25"/>
      <c r="G228" s="112" t="s">
        <v>443</v>
      </c>
      <c r="H228" s="112">
        <v>8.33</v>
      </c>
      <c r="I228" s="112">
        <v>3</v>
      </c>
      <c r="J228" s="110">
        <v>1</v>
      </c>
      <c r="K228" s="110">
        <v>1</v>
      </c>
      <c r="L228" s="110">
        <f t="shared" si="7"/>
        <v>24.990000000000002</v>
      </c>
      <c r="M228" s="111"/>
      <c r="N228" s="111"/>
    </row>
    <row r="229" spans="2:14" ht="15.75">
      <c r="B229" s="106">
        <v>227</v>
      </c>
      <c r="C229" s="107">
        <v>9</v>
      </c>
      <c r="D229" s="108"/>
      <c r="E229" s="25"/>
      <c r="F229" s="25"/>
      <c r="G229" s="112" t="s">
        <v>444</v>
      </c>
      <c r="H229" s="112">
        <v>1.1100000000000001</v>
      </c>
      <c r="I229" s="110">
        <v>70</v>
      </c>
      <c r="J229" s="110">
        <v>1</v>
      </c>
      <c r="K229" s="110">
        <v>1</v>
      </c>
      <c r="L229" s="110">
        <f t="shared" si="7"/>
        <v>77.7</v>
      </c>
      <c r="M229" s="111"/>
      <c r="N229" s="111"/>
    </row>
    <row r="230" spans="2:14" ht="15.75">
      <c r="B230" s="106">
        <v>228</v>
      </c>
      <c r="C230" s="107">
        <v>9</v>
      </c>
      <c r="D230" s="108"/>
      <c r="E230" s="25"/>
      <c r="F230" s="25"/>
      <c r="G230" s="112" t="s">
        <v>456</v>
      </c>
      <c r="H230" s="112">
        <v>0.56000000000000005</v>
      </c>
      <c r="I230" s="110">
        <v>110</v>
      </c>
      <c r="J230" s="110">
        <v>1</v>
      </c>
      <c r="K230" s="110">
        <v>1</v>
      </c>
      <c r="L230" s="110">
        <f t="shared" si="7"/>
        <v>61.600000000000009</v>
      </c>
      <c r="M230" s="111"/>
      <c r="N230" s="111"/>
    </row>
    <row r="231" spans="2:14" ht="15.75">
      <c r="B231" s="106">
        <v>229</v>
      </c>
      <c r="C231" s="107">
        <v>9</v>
      </c>
      <c r="D231" s="108"/>
      <c r="E231" s="25"/>
      <c r="F231" s="25"/>
      <c r="G231" s="112" t="s">
        <v>458</v>
      </c>
      <c r="H231" s="112">
        <v>305.60000000000002</v>
      </c>
      <c r="I231" s="110">
        <v>1</v>
      </c>
      <c r="J231" s="110">
        <v>1</v>
      </c>
      <c r="K231" s="110">
        <v>1</v>
      </c>
      <c r="L231" s="110">
        <f t="shared" si="7"/>
        <v>305.60000000000002</v>
      </c>
      <c r="M231" s="111"/>
      <c r="N231" s="111"/>
    </row>
    <row r="232" spans="2:14" ht="15.75">
      <c r="B232" s="106">
        <v>230</v>
      </c>
      <c r="C232" s="107">
        <v>9</v>
      </c>
      <c r="D232" s="108"/>
      <c r="E232" s="25"/>
      <c r="F232" s="25"/>
      <c r="G232" s="110" t="s">
        <v>447</v>
      </c>
      <c r="H232" s="112">
        <v>1.19</v>
      </c>
      <c r="I232" s="110">
        <v>10</v>
      </c>
      <c r="J232" s="110">
        <v>1</v>
      </c>
      <c r="K232" s="110">
        <v>7</v>
      </c>
      <c r="L232" s="110">
        <f t="shared" si="7"/>
        <v>83.299999999999983</v>
      </c>
      <c r="M232" s="111"/>
      <c r="N232" s="111"/>
    </row>
    <row r="233" spans="2:14" s="138" customFormat="1" ht="38.25">
      <c r="B233" s="126">
        <v>231</v>
      </c>
      <c r="C233" s="127">
        <v>10</v>
      </c>
      <c r="D233" s="135" t="s">
        <v>248</v>
      </c>
      <c r="E233" s="129" t="s">
        <v>247</v>
      </c>
      <c r="F233" s="136" t="s">
        <v>688</v>
      </c>
      <c r="G233" s="131" t="s">
        <v>499</v>
      </c>
      <c r="H233" s="137" t="s">
        <v>671</v>
      </c>
      <c r="I233" s="131"/>
      <c r="J233" s="131"/>
      <c r="K233" s="131"/>
      <c r="L233" s="139">
        <f>SUM(L234)</f>
        <v>80</v>
      </c>
      <c r="M233" s="133">
        <v>80</v>
      </c>
      <c r="N233" s="134">
        <v>80</v>
      </c>
    </row>
    <row r="234" spans="2:14" ht="15.75">
      <c r="B234" s="106">
        <v>232</v>
      </c>
      <c r="C234" s="107">
        <v>10</v>
      </c>
      <c r="D234" s="108"/>
      <c r="E234" s="25"/>
      <c r="F234" s="25"/>
      <c r="G234" s="112" t="s">
        <v>429</v>
      </c>
      <c r="H234" s="112">
        <v>4</v>
      </c>
      <c r="I234" s="112">
        <v>10</v>
      </c>
      <c r="J234" s="112">
        <v>1</v>
      </c>
      <c r="K234" s="112">
        <v>2</v>
      </c>
      <c r="L234" s="110">
        <f t="shared" si="7"/>
        <v>80</v>
      </c>
      <c r="M234" s="111"/>
      <c r="N234" s="111"/>
    </row>
    <row r="235" spans="2:14" s="138" customFormat="1" ht="25.5">
      <c r="B235" s="126">
        <v>233</v>
      </c>
      <c r="C235" s="127">
        <v>11</v>
      </c>
      <c r="D235" s="135" t="s">
        <v>246</v>
      </c>
      <c r="E235" s="129" t="s">
        <v>333</v>
      </c>
      <c r="F235" s="136" t="s">
        <v>689</v>
      </c>
      <c r="G235" s="131" t="s">
        <v>333</v>
      </c>
      <c r="H235" s="137" t="s">
        <v>671</v>
      </c>
      <c r="I235" s="131"/>
      <c r="J235" s="131"/>
      <c r="K235" s="131"/>
      <c r="L235" s="139">
        <f>SUM(L236:L246)</f>
        <v>0</v>
      </c>
      <c r="M235" s="133">
        <v>74666.67</v>
      </c>
      <c r="N235" s="134">
        <v>44799.99</v>
      </c>
    </row>
    <row r="236" spans="2:14" ht="15.75">
      <c r="B236" s="106">
        <v>234</v>
      </c>
      <c r="C236" s="107">
        <v>11</v>
      </c>
      <c r="D236" s="108"/>
      <c r="E236" s="25"/>
      <c r="F236" s="25"/>
      <c r="G236" s="112" t="s">
        <v>496</v>
      </c>
      <c r="H236" s="112">
        <v>650</v>
      </c>
      <c r="I236" s="112">
        <v>1</v>
      </c>
      <c r="J236" s="112">
        <v>5</v>
      </c>
      <c r="K236" s="112">
        <v>12</v>
      </c>
      <c r="L236" s="110"/>
      <c r="M236" s="111"/>
      <c r="N236" s="111"/>
    </row>
    <row r="237" spans="2:14" ht="15.75">
      <c r="B237" s="106">
        <v>235</v>
      </c>
      <c r="C237" s="107">
        <v>11</v>
      </c>
      <c r="D237" s="108"/>
      <c r="E237" s="25"/>
      <c r="F237" s="25"/>
      <c r="G237" s="112" t="s">
        <v>857</v>
      </c>
      <c r="H237" s="112">
        <v>552</v>
      </c>
      <c r="I237" s="112">
        <v>1</v>
      </c>
      <c r="J237" s="112">
        <v>5</v>
      </c>
      <c r="K237" s="112">
        <v>12</v>
      </c>
      <c r="L237" s="110"/>
      <c r="M237" s="111"/>
      <c r="N237" s="111"/>
    </row>
    <row r="238" spans="2:14" ht="15.75">
      <c r="B238" s="106">
        <v>236</v>
      </c>
      <c r="C238" s="107">
        <v>11</v>
      </c>
      <c r="D238" s="108"/>
      <c r="E238" s="25"/>
      <c r="F238" s="25"/>
      <c r="G238" s="112" t="s">
        <v>497</v>
      </c>
      <c r="H238" s="112">
        <v>400</v>
      </c>
      <c r="I238" s="112">
        <v>2</v>
      </c>
      <c r="J238" s="112">
        <v>5</v>
      </c>
      <c r="K238" s="112">
        <v>12</v>
      </c>
      <c r="L238" s="110"/>
      <c r="M238" s="111"/>
      <c r="N238" s="111"/>
    </row>
    <row r="239" spans="2:14" ht="15.75">
      <c r="B239" s="106">
        <v>237</v>
      </c>
      <c r="C239" s="107">
        <v>11</v>
      </c>
      <c r="D239" s="108"/>
      <c r="E239" s="25"/>
      <c r="F239" s="25"/>
      <c r="G239" s="112" t="s">
        <v>858</v>
      </c>
      <c r="H239" s="112">
        <v>600</v>
      </c>
      <c r="I239" s="112">
        <v>2</v>
      </c>
      <c r="J239" s="112">
        <v>5</v>
      </c>
      <c r="K239" s="112">
        <v>12</v>
      </c>
      <c r="L239" s="110"/>
      <c r="M239" s="111"/>
      <c r="N239" s="111"/>
    </row>
    <row r="240" spans="2:14" ht="15.75">
      <c r="B240" s="106">
        <v>238</v>
      </c>
      <c r="C240" s="107">
        <v>11</v>
      </c>
      <c r="D240" s="108"/>
      <c r="E240" s="25"/>
      <c r="F240" s="25"/>
      <c r="G240" s="112" t="s">
        <v>859</v>
      </c>
      <c r="H240" s="112">
        <v>500</v>
      </c>
      <c r="I240" s="112">
        <v>1</v>
      </c>
      <c r="J240" s="112">
        <v>5</v>
      </c>
      <c r="K240" s="112">
        <v>12</v>
      </c>
      <c r="L240" s="110"/>
      <c r="M240" s="111"/>
      <c r="N240" s="111"/>
    </row>
    <row r="241" spans="2:14" ht="15.75">
      <c r="B241" s="106">
        <v>239</v>
      </c>
      <c r="C241" s="107">
        <v>11</v>
      </c>
      <c r="D241" s="108"/>
      <c r="E241" s="25"/>
      <c r="F241" s="25"/>
      <c r="G241" s="112" t="s">
        <v>860</v>
      </c>
      <c r="H241" s="112">
        <v>500</v>
      </c>
      <c r="I241" s="112">
        <v>1</v>
      </c>
      <c r="J241" s="112">
        <v>5</v>
      </c>
      <c r="K241" s="112">
        <v>12</v>
      </c>
      <c r="L241" s="110"/>
      <c r="M241" s="111"/>
      <c r="N241" s="111"/>
    </row>
    <row r="242" spans="2:14" ht="15.75">
      <c r="B242" s="106">
        <v>240</v>
      </c>
      <c r="C242" s="107">
        <v>11</v>
      </c>
      <c r="D242" s="108"/>
      <c r="E242" s="25"/>
      <c r="F242" s="25"/>
      <c r="G242" s="112" t="s">
        <v>861</v>
      </c>
      <c r="H242" s="112">
        <v>600</v>
      </c>
      <c r="I242" s="112">
        <v>1</v>
      </c>
      <c r="J242" s="112">
        <v>5</v>
      </c>
      <c r="K242" s="112">
        <v>12</v>
      </c>
      <c r="L242" s="110"/>
      <c r="M242" s="111"/>
      <c r="N242" s="111"/>
    </row>
    <row r="243" spans="2:14" ht="15.75">
      <c r="B243" s="106">
        <v>241</v>
      </c>
      <c r="C243" s="107">
        <v>11</v>
      </c>
      <c r="D243" s="108"/>
      <c r="E243" s="25"/>
      <c r="F243" s="25"/>
      <c r="G243" s="112" t="s">
        <v>862</v>
      </c>
      <c r="H243" s="112">
        <v>400</v>
      </c>
      <c r="I243" s="112">
        <v>1</v>
      </c>
      <c r="J243" s="112">
        <v>5</v>
      </c>
      <c r="K243" s="112">
        <v>12</v>
      </c>
      <c r="L243" s="110"/>
      <c r="M243" s="111"/>
      <c r="N243" s="111"/>
    </row>
    <row r="244" spans="2:14" ht="24">
      <c r="B244" s="106">
        <v>242</v>
      </c>
      <c r="C244" s="107">
        <v>11</v>
      </c>
      <c r="D244" s="108"/>
      <c r="E244" s="25"/>
      <c r="F244" s="25"/>
      <c r="G244" s="112" t="s">
        <v>863</v>
      </c>
      <c r="H244" s="112">
        <v>600</v>
      </c>
      <c r="I244" s="112">
        <v>1</v>
      </c>
      <c r="J244" s="112">
        <v>5</v>
      </c>
      <c r="K244" s="112">
        <v>12</v>
      </c>
      <c r="L244" s="110"/>
      <c r="M244" s="111"/>
      <c r="N244" s="111"/>
    </row>
    <row r="245" spans="2:14" ht="15.75">
      <c r="B245" s="106"/>
      <c r="C245" s="107"/>
      <c r="D245" s="108"/>
      <c r="E245" s="25"/>
      <c r="F245" s="25"/>
      <c r="G245" s="112" t="s">
        <v>997</v>
      </c>
      <c r="H245" s="112">
        <v>400</v>
      </c>
      <c r="I245" s="112">
        <v>1</v>
      </c>
      <c r="J245" s="112"/>
      <c r="K245" s="112"/>
      <c r="L245" s="110"/>
      <c r="M245" s="111"/>
      <c r="N245" s="111"/>
    </row>
    <row r="246" spans="2:14" ht="15.75">
      <c r="B246" s="106">
        <v>243</v>
      </c>
      <c r="C246" s="107">
        <v>11</v>
      </c>
      <c r="D246" s="108"/>
      <c r="E246" s="25"/>
      <c r="F246" s="25"/>
      <c r="G246" s="112" t="s">
        <v>432</v>
      </c>
      <c r="H246" s="112">
        <v>212</v>
      </c>
      <c r="I246" s="112">
        <v>1</v>
      </c>
      <c r="J246" s="112">
        <v>5</v>
      </c>
      <c r="K246" s="112">
        <v>12</v>
      </c>
      <c r="L246" s="110"/>
      <c r="M246" s="111"/>
      <c r="N246" s="111"/>
    </row>
    <row r="247" spans="2:14" s="138" customFormat="1" ht="38.25">
      <c r="B247" s="126">
        <v>244</v>
      </c>
      <c r="C247" s="127">
        <v>12</v>
      </c>
      <c r="D247" s="135" t="s">
        <v>245</v>
      </c>
      <c r="E247" s="129" t="s">
        <v>690</v>
      </c>
      <c r="F247" s="136" t="s">
        <v>691</v>
      </c>
      <c r="G247" s="131" t="s">
        <v>498</v>
      </c>
      <c r="H247" s="137" t="s">
        <v>671</v>
      </c>
      <c r="I247" s="131"/>
      <c r="J247" s="131"/>
      <c r="K247" s="131"/>
      <c r="L247" s="139">
        <f>SUM(L248:L257)</f>
        <v>60330</v>
      </c>
      <c r="M247" s="133">
        <v>360000</v>
      </c>
      <c r="N247" s="134">
        <v>216000</v>
      </c>
    </row>
    <row r="248" spans="2:14" ht="15.75">
      <c r="B248" s="106">
        <v>234</v>
      </c>
      <c r="C248" s="107">
        <v>12</v>
      </c>
      <c r="D248" s="108"/>
      <c r="E248" s="25"/>
      <c r="F248" s="25"/>
      <c r="G248" s="313" t="s">
        <v>496</v>
      </c>
      <c r="H248" s="112">
        <v>650</v>
      </c>
      <c r="I248" s="112">
        <v>1</v>
      </c>
      <c r="J248" s="112">
        <v>1</v>
      </c>
      <c r="K248" s="112">
        <v>12</v>
      </c>
      <c r="L248" s="110">
        <f t="shared" si="7"/>
        <v>7800</v>
      </c>
      <c r="M248" s="111"/>
      <c r="N248" s="111"/>
    </row>
    <row r="249" spans="2:14" ht="15.75">
      <c r="B249" s="106">
        <v>235</v>
      </c>
      <c r="C249" s="107">
        <v>12</v>
      </c>
      <c r="D249" s="108"/>
      <c r="E249" s="25"/>
      <c r="F249" s="25"/>
      <c r="G249" s="313" t="s">
        <v>1037</v>
      </c>
      <c r="H249" s="112">
        <v>425</v>
      </c>
      <c r="I249" s="112">
        <v>1</v>
      </c>
      <c r="J249" s="112">
        <v>1</v>
      </c>
      <c r="K249" s="112">
        <v>12</v>
      </c>
      <c r="L249" s="110">
        <f t="shared" si="7"/>
        <v>5100</v>
      </c>
      <c r="M249" s="111"/>
      <c r="N249" s="111"/>
    </row>
    <row r="250" spans="2:14" ht="15.75">
      <c r="B250" s="106">
        <v>236</v>
      </c>
      <c r="C250" s="107">
        <v>12</v>
      </c>
      <c r="D250" s="108"/>
      <c r="E250" s="25"/>
      <c r="F250" s="25"/>
      <c r="G250" s="313" t="s">
        <v>1032</v>
      </c>
      <c r="H250" s="112">
        <v>510</v>
      </c>
      <c r="I250" s="112">
        <v>2</v>
      </c>
      <c r="J250" s="112">
        <v>1</v>
      </c>
      <c r="K250" s="112">
        <v>12</v>
      </c>
      <c r="L250" s="110">
        <f t="shared" si="7"/>
        <v>12240</v>
      </c>
      <c r="M250" s="111"/>
      <c r="N250" s="111"/>
    </row>
    <row r="251" spans="2:14" ht="24">
      <c r="B251" s="106">
        <v>237</v>
      </c>
      <c r="C251" s="107">
        <v>12</v>
      </c>
      <c r="D251" s="108"/>
      <c r="E251" s="25"/>
      <c r="F251" s="25"/>
      <c r="G251" s="313" t="s">
        <v>1035</v>
      </c>
      <c r="H251" s="112">
        <v>552.5</v>
      </c>
      <c r="I251" s="112">
        <v>1</v>
      </c>
      <c r="J251" s="112">
        <v>1</v>
      </c>
      <c r="K251" s="112">
        <v>12</v>
      </c>
      <c r="L251" s="110">
        <f t="shared" ref="L251" si="8">H251*I251*J251*K251</f>
        <v>6630</v>
      </c>
      <c r="M251" s="111"/>
      <c r="N251" s="111"/>
    </row>
    <row r="252" spans="2:14" ht="24">
      <c r="B252" s="106">
        <v>237</v>
      </c>
      <c r="C252" s="107">
        <v>12</v>
      </c>
      <c r="D252" s="108"/>
      <c r="E252" s="25"/>
      <c r="F252" s="25"/>
      <c r="G252" s="313" t="s">
        <v>1034</v>
      </c>
      <c r="H252" s="112">
        <v>552.5</v>
      </c>
      <c r="I252" s="112">
        <v>1</v>
      </c>
      <c r="J252" s="112">
        <v>1</v>
      </c>
      <c r="K252" s="112">
        <v>12</v>
      </c>
      <c r="L252" s="110">
        <f t="shared" si="7"/>
        <v>6630</v>
      </c>
      <c r="M252" s="111"/>
      <c r="N252" s="111"/>
    </row>
    <row r="253" spans="2:14" ht="36">
      <c r="B253" s="106">
        <v>238</v>
      </c>
      <c r="C253" s="107">
        <v>12</v>
      </c>
      <c r="D253" s="108"/>
      <c r="E253" s="25"/>
      <c r="F253" s="25"/>
      <c r="G253" s="313" t="s">
        <v>1033</v>
      </c>
      <c r="H253" s="112">
        <v>425</v>
      </c>
      <c r="I253" s="112">
        <v>1</v>
      </c>
      <c r="J253" s="112">
        <v>1</v>
      </c>
      <c r="K253" s="112">
        <v>12</v>
      </c>
      <c r="L253" s="110">
        <f t="shared" si="7"/>
        <v>5100</v>
      </c>
      <c r="M253" s="111"/>
      <c r="N253" s="111"/>
    </row>
    <row r="254" spans="2:14" ht="15.75">
      <c r="B254" s="106">
        <v>239</v>
      </c>
      <c r="C254" s="107">
        <v>12</v>
      </c>
      <c r="D254" s="108"/>
      <c r="E254" s="25"/>
      <c r="F254" s="25"/>
      <c r="G254" s="313" t="s">
        <v>1036</v>
      </c>
      <c r="H254" s="112">
        <v>425</v>
      </c>
      <c r="I254" s="112">
        <v>1</v>
      </c>
      <c r="J254" s="112">
        <v>1</v>
      </c>
      <c r="K254" s="112">
        <v>12</v>
      </c>
      <c r="L254" s="110">
        <f t="shared" si="7"/>
        <v>5100</v>
      </c>
      <c r="M254" s="111"/>
      <c r="N254" s="111"/>
    </row>
    <row r="255" spans="2:14" ht="15.75">
      <c r="B255" s="106">
        <v>240</v>
      </c>
      <c r="C255" s="107">
        <v>12</v>
      </c>
      <c r="D255" s="108"/>
      <c r="E255" s="25"/>
      <c r="F255" s="25"/>
      <c r="G255" s="313" t="s">
        <v>1031</v>
      </c>
      <c r="H255" s="112">
        <v>382.5</v>
      </c>
      <c r="I255" s="112">
        <v>1</v>
      </c>
      <c r="J255" s="112">
        <v>1</v>
      </c>
      <c r="K255" s="112">
        <v>12</v>
      </c>
      <c r="L255" s="110">
        <f t="shared" si="7"/>
        <v>4590</v>
      </c>
      <c r="M255" s="111"/>
      <c r="N255" s="111"/>
    </row>
    <row r="256" spans="2:14" ht="15.75">
      <c r="B256" s="106"/>
      <c r="C256" s="107">
        <v>12</v>
      </c>
      <c r="D256" s="108"/>
      <c r="E256" s="25"/>
      <c r="F256" s="25"/>
      <c r="G256" s="313" t="s">
        <v>1038</v>
      </c>
      <c r="H256" s="112">
        <v>382.5</v>
      </c>
      <c r="I256" s="112">
        <v>1</v>
      </c>
      <c r="J256" s="112">
        <v>1</v>
      </c>
      <c r="K256" s="112">
        <v>12</v>
      </c>
      <c r="L256" s="110">
        <f t="shared" si="7"/>
        <v>4590</v>
      </c>
      <c r="M256" s="111"/>
      <c r="N256" s="111"/>
    </row>
    <row r="257" spans="2:14" ht="15.75">
      <c r="B257" s="106">
        <v>243</v>
      </c>
      <c r="C257" s="107">
        <v>12</v>
      </c>
      <c r="D257" s="108"/>
      <c r="E257" s="25"/>
      <c r="F257" s="25"/>
      <c r="G257" s="313" t="s">
        <v>432</v>
      </c>
      <c r="H257" s="112">
        <v>212.5</v>
      </c>
      <c r="I257" s="112">
        <v>1</v>
      </c>
      <c r="J257" s="112">
        <v>1</v>
      </c>
      <c r="K257" s="112">
        <v>12</v>
      </c>
      <c r="L257" s="110">
        <f t="shared" si="7"/>
        <v>2550</v>
      </c>
      <c r="M257" s="111"/>
      <c r="N257" s="111"/>
    </row>
    <row r="258" spans="2:14" s="138" customFormat="1" ht="38.25">
      <c r="B258" s="126">
        <v>249</v>
      </c>
      <c r="C258" s="127">
        <v>13</v>
      </c>
      <c r="D258" s="135" t="s">
        <v>244</v>
      </c>
      <c r="E258" s="129" t="s">
        <v>243</v>
      </c>
      <c r="F258" s="136" t="s">
        <v>692</v>
      </c>
      <c r="G258" s="131" t="s">
        <v>243</v>
      </c>
      <c r="H258" s="137" t="s">
        <v>671</v>
      </c>
      <c r="I258" s="131"/>
      <c r="J258" s="131"/>
      <c r="K258" s="131"/>
      <c r="L258" s="139">
        <f>SUM(L259:L279)</f>
        <v>1804.6575</v>
      </c>
      <c r="M258" s="133">
        <v>1804.66</v>
      </c>
      <c r="N258" s="134"/>
    </row>
    <row r="259" spans="2:14" ht="15.75">
      <c r="B259" s="106">
        <v>250</v>
      </c>
      <c r="C259" s="107">
        <v>13</v>
      </c>
      <c r="D259" s="108"/>
      <c r="E259" s="25"/>
      <c r="F259" s="25"/>
      <c r="G259" s="110" t="s">
        <v>541</v>
      </c>
      <c r="H259" s="112" t="s">
        <v>671</v>
      </c>
      <c r="I259" s="110"/>
      <c r="J259" s="110"/>
      <c r="K259" s="110"/>
      <c r="L259" s="110"/>
      <c r="M259" s="111"/>
      <c r="N259" s="111"/>
    </row>
    <row r="260" spans="2:14" ht="15.75">
      <c r="B260" s="106">
        <v>251</v>
      </c>
      <c r="C260" s="107">
        <v>13</v>
      </c>
      <c r="D260" s="108"/>
      <c r="E260" s="25"/>
      <c r="F260" s="25"/>
      <c r="G260" s="112" t="s">
        <v>453</v>
      </c>
      <c r="H260" s="112">
        <v>25</v>
      </c>
      <c r="I260" s="110">
        <v>1</v>
      </c>
      <c r="J260" s="110">
        <v>1</v>
      </c>
      <c r="K260" s="110">
        <v>3</v>
      </c>
      <c r="L260" s="110">
        <f t="shared" si="7"/>
        <v>75</v>
      </c>
      <c r="M260" s="111"/>
      <c r="N260" s="111"/>
    </row>
    <row r="261" spans="2:14" ht="15.75">
      <c r="B261" s="106">
        <v>252</v>
      </c>
      <c r="C261" s="107">
        <v>13</v>
      </c>
      <c r="D261" s="108"/>
      <c r="E261" s="25"/>
      <c r="F261" s="25"/>
      <c r="G261" s="112" t="s">
        <v>429</v>
      </c>
      <c r="H261" s="112">
        <v>4</v>
      </c>
      <c r="I261" s="110">
        <v>12</v>
      </c>
      <c r="J261" s="110">
        <v>1</v>
      </c>
      <c r="K261" s="110">
        <v>3</v>
      </c>
      <c r="L261" s="110">
        <f t="shared" si="7"/>
        <v>144</v>
      </c>
      <c r="M261" s="111"/>
      <c r="N261" s="111"/>
    </row>
    <row r="262" spans="2:14" ht="15.75">
      <c r="B262" s="106">
        <v>253</v>
      </c>
      <c r="C262" s="107">
        <v>13</v>
      </c>
      <c r="D262" s="108"/>
      <c r="E262" s="25"/>
      <c r="F262" s="25"/>
      <c r="G262" s="112" t="s">
        <v>430</v>
      </c>
      <c r="H262" s="112">
        <v>8</v>
      </c>
      <c r="I262" s="110">
        <v>12</v>
      </c>
      <c r="J262" s="110">
        <v>1</v>
      </c>
      <c r="K262" s="110">
        <v>3</v>
      </c>
      <c r="L262" s="110">
        <f t="shared" si="7"/>
        <v>288</v>
      </c>
      <c r="M262" s="111"/>
      <c r="N262" s="111"/>
    </row>
    <row r="263" spans="2:14" ht="24">
      <c r="B263" s="106">
        <v>254</v>
      </c>
      <c r="C263" s="107">
        <v>13</v>
      </c>
      <c r="D263" s="108"/>
      <c r="E263" s="25"/>
      <c r="F263" s="25"/>
      <c r="G263" s="112" t="s">
        <v>431</v>
      </c>
      <c r="H263" s="112">
        <v>10</v>
      </c>
      <c r="I263" s="110">
        <v>10</v>
      </c>
      <c r="J263" s="110">
        <v>1</v>
      </c>
      <c r="K263" s="110">
        <v>3</v>
      </c>
      <c r="L263" s="110">
        <f t="shared" si="7"/>
        <v>300</v>
      </c>
      <c r="M263" s="111"/>
      <c r="N263" s="111"/>
    </row>
    <row r="264" spans="2:14" ht="15.75">
      <c r="B264" s="106">
        <v>255</v>
      </c>
      <c r="C264" s="107">
        <v>13</v>
      </c>
      <c r="D264" s="108"/>
      <c r="E264" s="25"/>
      <c r="F264" s="25"/>
      <c r="G264" s="112" t="s">
        <v>432</v>
      </c>
      <c r="H264" s="112">
        <v>8</v>
      </c>
      <c r="I264" s="110">
        <v>1</v>
      </c>
      <c r="J264" s="110">
        <v>1</v>
      </c>
      <c r="K264" s="110">
        <v>3</v>
      </c>
      <c r="L264" s="110">
        <f t="shared" si="7"/>
        <v>24</v>
      </c>
      <c r="M264" s="111"/>
      <c r="N264" s="111"/>
    </row>
    <row r="265" spans="2:14" ht="15.75">
      <c r="B265" s="106">
        <v>256</v>
      </c>
      <c r="C265" s="107">
        <v>13</v>
      </c>
      <c r="D265" s="108"/>
      <c r="E265" s="25"/>
      <c r="F265" s="25"/>
      <c r="G265" s="112" t="s">
        <v>433</v>
      </c>
      <c r="H265" s="112">
        <v>10</v>
      </c>
      <c r="I265" s="110">
        <v>1</v>
      </c>
      <c r="J265" s="110">
        <v>1</v>
      </c>
      <c r="K265" s="110">
        <v>3</v>
      </c>
      <c r="L265" s="110">
        <f t="shared" si="7"/>
        <v>30</v>
      </c>
      <c r="M265" s="111"/>
      <c r="N265" s="111"/>
    </row>
    <row r="266" spans="2:14" ht="15.75">
      <c r="B266" s="106">
        <v>257</v>
      </c>
      <c r="C266" s="107">
        <v>13</v>
      </c>
      <c r="D266" s="108"/>
      <c r="E266" s="25"/>
      <c r="F266" s="25"/>
      <c r="G266" s="112" t="s">
        <v>434</v>
      </c>
      <c r="H266" s="112">
        <v>10</v>
      </c>
      <c r="I266" s="110">
        <v>10</v>
      </c>
      <c r="J266" s="110">
        <v>1</v>
      </c>
      <c r="K266" s="110">
        <v>1</v>
      </c>
      <c r="L266" s="110">
        <f t="shared" si="7"/>
        <v>100</v>
      </c>
      <c r="M266" s="111"/>
      <c r="N266" s="111"/>
    </row>
    <row r="267" spans="2:14" ht="15.75">
      <c r="B267" s="106">
        <v>258</v>
      </c>
      <c r="C267" s="107">
        <v>13</v>
      </c>
      <c r="D267" s="108"/>
      <c r="E267" s="25"/>
      <c r="F267" s="25"/>
      <c r="G267" s="112" t="s">
        <v>435</v>
      </c>
      <c r="H267" s="112">
        <v>70</v>
      </c>
      <c r="I267" s="110">
        <v>1</v>
      </c>
      <c r="J267" s="110">
        <v>1</v>
      </c>
      <c r="K267" s="110">
        <v>3</v>
      </c>
      <c r="L267" s="110">
        <f t="shared" si="7"/>
        <v>210</v>
      </c>
      <c r="M267" s="111"/>
      <c r="N267" s="111"/>
    </row>
    <row r="268" spans="2:14" ht="15.75">
      <c r="B268" s="106">
        <v>259</v>
      </c>
      <c r="C268" s="107">
        <v>13</v>
      </c>
      <c r="D268" s="108"/>
      <c r="E268" s="25"/>
      <c r="F268" s="25"/>
      <c r="G268" s="112" t="s">
        <v>436</v>
      </c>
      <c r="H268" s="112">
        <v>0.88</v>
      </c>
      <c r="I268" s="110">
        <v>1</v>
      </c>
      <c r="J268" s="110">
        <v>1</v>
      </c>
      <c r="K268" s="110">
        <v>1</v>
      </c>
      <c r="L268" s="110">
        <f t="shared" si="7"/>
        <v>0.88</v>
      </c>
      <c r="M268" s="111"/>
      <c r="N268" s="111"/>
    </row>
    <row r="269" spans="2:14" ht="15.75">
      <c r="B269" s="106">
        <v>260</v>
      </c>
      <c r="C269" s="107">
        <v>13</v>
      </c>
      <c r="D269" s="108"/>
      <c r="E269" s="25"/>
      <c r="F269" s="25"/>
      <c r="G269" s="112" t="s">
        <v>437</v>
      </c>
      <c r="H269" s="112">
        <v>23.52</v>
      </c>
      <c r="I269" s="110">
        <v>1</v>
      </c>
      <c r="J269" s="110">
        <v>1</v>
      </c>
      <c r="K269" s="110">
        <v>1</v>
      </c>
      <c r="L269" s="110">
        <f t="shared" si="7"/>
        <v>23.52</v>
      </c>
      <c r="M269" s="111"/>
      <c r="N269" s="111"/>
    </row>
    <row r="270" spans="2:14" ht="15.75">
      <c r="B270" s="106">
        <v>261</v>
      </c>
      <c r="C270" s="107">
        <v>13</v>
      </c>
      <c r="D270" s="108"/>
      <c r="E270" s="25"/>
      <c r="F270" s="25"/>
      <c r="G270" s="112" t="s">
        <v>438</v>
      </c>
      <c r="H270" s="112">
        <v>0.59</v>
      </c>
      <c r="I270" s="110">
        <v>1</v>
      </c>
      <c r="J270" s="110">
        <v>1</v>
      </c>
      <c r="K270" s="110">
        <v>1</v>
      </c>
      <c r="L270" s="110">
        <f t="shared" si="7"/>
        <v>0.59</v>
      </c>
      <c r="M270" s="111"/>
      <c r="N270" s="111"/>
    </row>
    <row r="271" spans="2:14" ht="15.75">
      <c r="B271" s="106">
        <v>262</v>
      </c>
      <c r="C271" s="107">
        <v>13</v>
      </c>
      <c r="D271" s="108"/>
      <c r="E271" s="25"/>
      <c r="F271" s="25"/>
      <c r="G271" s="110" t="s">
        <v>441</v>
      </c>
      <c r="H271" s="112" t="s">
        <v>671</v>
      </c>
      <c r="I271" s="110"/>
      <c r="J271" s="110"/>
      <c r="K271" s="110"/>
      <c r="L271" s="110"/>
      <c r="M271" s="111"/>
      <c r="N271" s="111"/>
    </row>
    <row r="272" spans="2:14" ht="15.75">
      <c r="B272" s="106">
        <v>263</v>
      </c>
      <c r="C272" s="107">
        <v>13</v>
      </c>
      <c r="D272" s="108"/>
      <c r="E272" s="25"/>
      <c r="F272" s="25"/>
      <c r="G272" s="112" t="s">
        <v>442</v>
      </c>
      <c r="H272" s="112">
        <v>6</v>
      </c>
      <c r="I272" s="110">
        <v>35</v>
      </c>
      <c r="J272" s="110">
        <v>1</v>
      </c>
      <c r="K272" s="110">
        <v>1</v>
      </c>
      <c r="L272" s="110">
        <f t="shared" si="7"/>
        <v>210</v>
      </c>
      <c r="M272" s="111"/>
      <c r="N272" s="111"/>
    </row>
    <row r="273" spans="2:14" ht="15.75">
      <c r="B273" s="106">
        <v>264</v>
      </c>
      <c r="C273" s="107">
        <v>13</v>
      </c>
      <c r="D273" s="108"/>
      <c r="E273" s="25"/>
      <c r="F273" s="25"/>
      <c r="G273" s="112" t="s">
        <v>435</v>
      </c>
      <c r="H273" s="112">
        <v>70</v>
      </c>
      <c r="I273" s="110">
        <v>1</v>
      </c>
      <c r="J273" s="110">
        <v>1</v>
      </c>
      <c r="K273" s="110">
        <v>1</v>
      </c>
      <c r="L273" s="110">
        <f t="shared" si="7"/>
        <v>70</v>
      </c>
      <c r="M273" s="111"/>
      <c r="N273" s="111"/>
    </row>
    <row r="274" spans="2:14" ht="15.75">
      <c r="B274" s="106">
        <v>265</v>
      </c>
      <c r="C274" s="107">
        <v>13</v>
      </c>
      <c r="D274" s="108"/>
      <c r="E274" s="25"/>
      <c r="F274" s="25"/>
      <c r="G274" s="112" t="s">
        <v>443</v>
      </c>
      <c r="H274" s="112">
        <v>8.33</v>
      </c>
      <c r="I274" s="112">
        <v>1.75</v>
      </c>
      <c r="J274" s="110">
        <v>1</v>
      </c>
      <c r="K274" s="110">
        <v>1</v>
      </c>
      <c r="L274" s="110">
        <f t="shared" si="7"/>
        <v>14.577500000000001</v>
      </c>
      <c r="M274" s="111"/>
      <c r="N274" s="111"/>
    </row>
    <row r="275" spans="2:14" ht="15.75">
      <c r="B275" s="106">
        <v>266</v>
      </c>
      <c r="C275" s="107">
        <v>13</v>
      </c>
      <c r="D275" s="108"/>
      <c r="E275" s="25"/>
      <c r="F275" s="25"/>
      <c r="G275" s="112" t="s">
        <v>444</v>
      </c>
      <c r="H275" s="112">
        <v>1.1100000000000001</v>
      </c>
      <c r="I275" s="110">
        <v>35</v>
      </c>
      <c r="J275" s="110">
        <v>1</v>
      </c>
      <c r="K275" s="110">
        <v>1</v>
      </c>
      <c r="L275" s="110">
        <f t="shared" si="7"/>
        <v>38.85</v>
      </c>
      <c r="M275" s="111"/>
      <c r="N275" s="111"/>
    </row>
    <row r="276" spans="2:14" ht="15.75">
      <c r="B276" s="106">
        <v>267</v>
      </c>
      <c r="C276" s="107">
        <v>13</v>
      </c>
      <c r="D276" s="108"/>
      <c r="E276" s="25"/>
      <c r="F276" s="25"/>
      <c r="G276" s="112" t="s">
        <v>445</v>
      </c>
      <c r="H276" s="112">
        <v>0.56000000000000005</v>
      </c>
      <c r="I276" s="110">
        <v>70</v>
      </c>
      <c r="J276" s="110">
        <v>1</v>
      </c>
      <c r="K276" s="110">
        <v>1</v>
      </c>
      <c r="L276" s="110">
        <f t="shared" si="7"/>
        <v>39.200000000000003</v>
      </c>
      <c r="M276" s="111"/>
      <c r="N276" s="111"/>
    </row>
    <row r="277" spans="2:14" ht="24">
      <c r="B277" s="106">
        <v>268</v>
      </c>
      <c r="C277" s="107">
        <v>13</v>
      </c>
      <c r="D277" s="108"/>
      <c r="E277" s="25"/>
      <c r="F277" s="25"/>
      <c r="G277" s="112" t="s">
        <v>542</v>
      </c>
      <c r="H277" s="112">
        <v>167</v>
      </c>
      <c r="I277" s="110">
        <v>1</v>
      </c>
      <c r="J277" s="110">
        <v>1</v>
      </c>
      <c r="K277" s="110">
        <v>1</v>
      </c>
      <c r="L277" s="110">
        <f t="shared" si="7"/>
        <v>167</v>
      </c>
      <c r="M277" s="111"/>
      <c r="N277" s="111"/>
    </row>
    <row r="278" spans="2:14" ht="15.75">
      <c r="B278" s="106">
        <v>269</v>
      </c>
      <c r="C278" s="107">
        <v>13</v>
      </c>
      <c r="D278" s="108"/>
      <c r="E278" s="25"/>
      <c r="F278" s="25"/>
      <c r="G278" s="110" t="s">
        <v>446</v>
      </c>
      <c r="H278" s="112">
        <v>16.670000000000002</v>
      </c>
      <c r="I278" s="110">
        <v>2</v>
      </c>
      <c r="J278" s="110">
        <v>1</v>
      </c>
      <c r="K278" s="110">
        <v>1</v>
      </c>
      <c r="L278" s="110">
        <f t="shared" si="7"/>
        <v>33.340000000000003</v>
      </c>
      <c r="M278" s="111"/>
      <c r="N278" s="111"/>
    </row>
    <row r="279" spans="2:14" ht="15.75">
      <c r="B279" s="106">
        <v>270</v>
      </c>
      <c r="C279" s="107">
        <v>13</v>
      </c>
      <c r="D279" s="108"/>
      <c r="E279" s="25"/>
      <c r="F279" s="25"/>
      <c r="G279" s="110" t="s">
        <v>447</v>
      </c>
      <c r="H279" s="112">
        <v>1.19</v>
      </c>
      <c r="I279" s="110">
        <v>10</v>
      </c>
      <c r="J279" s="110">
        <v>1</v>
      </c>
      <c r="K279" s="110">
        <v>3</v>
      </c>
      <c r="L279" s="110">
        <f t="shared" si="7"/>
        <v>35.699999999999996</v>
      </c>
      <c r="M279" s="111"/>
      <c r="N279" s="111"/>
    </row>
    <row r="280" spans="2:14" s="138" customFormat="1" ht="51">
      <c r="B280" s="126">
        <v>271</v>
      </c>
      <c r="C280" s="127">
        <v>14</v>
      </c>
      <c r="D280" s="128" t="s">
        <v>242</v>
      </c>
      <c r="E280" s="129" t="s">
        <v>241</v>
      </c>
      <c r="F280" s="136" t="s">
        <v>693</v>
      </c>
      <c r="G280" s="131" t="s">
        <v>492</v>
      </c>
      <c r="H280" s="137" t="s">
        <v>671</v>
      </c>
      <c r="I280" s="131"/>
      <c r="J280" s="131"/>
      <c r="K280" s="131"/>
      <c r="L280" s="139">
        <f>SUM(L281:L284)</f>
        <v>11876</v>
      </c>
      <c r="M280" s="133">
        <v>35628</v>
      </c>
      <c r="N280" s="134">
        <v>35628</v>
      </c>
    </row>
    <row r="281" spans="2:14" ht="15.75">
      <c r="B281" s="106">
        <v>272</v>
      </c>
      <c r="C281" s="107">
        <v>14</v>
      </c>
      <c r="D281" s="108"/>
      <c r="E281" s="25"/>
      <c r="F281" s="25"/>
      <c r="G281" s="112" t="s">
        <v>448</v>
      </c>
      <c r="H281" s="112">
        <v>1000</v>
      </c>
      <c r="I281" s="112">
        <v>1</v>
      </c>
      <c r="J281" s="112">
        <v>1</v>
      </c>
      <c r="K281" s="112">
        <v>3</v>
      </c>
      <c r="L281" s="110">
        <f t="shared" ref="L281:L284" si="9">H281*I281*J281*K281</f>
        <v>3000</v>
      </c>
      <c r="M281" s="111"/>
      <c r="N281" s="111"/>
    </row>
    <row r="282" spans="2:14" ht="15.75">
      <c r="B282" s="106">
        <v>273</v>
      </c>
      <c r="C282" s="107">
        <v>14</v>
      </c>
      <c r="D282" s="108"/>
      <c r="E282" s="25"/>
      <c r="F282" s="25"/>
      <c r="G282" s="112" t="s">
        <v>449</v>
      </c>
      <c r="H282" s="112">
        <v>300</v>
      </c>
      <c r="I282" s="112">
        <v>1</v>
      </c>
      <c r="J282" s="112">
        <v>1</v>
      </c>
      <c r="K282" s="112">
        <v>21</v>
      </c>
      <c r="L282" s="110">
        <f t="shared" si="9"/>
        <v>6300</v>
      </c>
      <c r="M282" s="111"/>
      <c r="N282" s="111"/>
    </row>
    <row r="283" spans="2:14" ht="15.75">
      <c r="B283" s="106">
        <v>274</v>
      </c>
      <c r="C283" s="107">
        <v>14</v>
      </c>
      <c r="D283" s="108"/>
      <c r="E283" s="25"/>
      <c r="F283" s="25"/>
      <c r="G283" s="112" t="s">
        <v>450</v>
      </c>
      <c r="H283" s="112">
        <v>38</v>
      </c>
      <c r="I283" s="112">
        <v>1</v>
      </c>
      <c r="J283" s="112">
        <v>2</v>
      </c>
      <c r="K283" s="112">
        <v>1</v>
      </c>
      <c r="L283" s="110">
        <f t="shared" si="9"/>
        <v>76</v>
      </c>
      <c r="M283" s="111"/>
      <c r="N283" s="111"/>
    </row>
    <row r="284" spans="2:14" ht="15.75">
      <c r="B284" s="106">
        <v>275</v>
      </c>
      <c r="C284" s="107">
        <v>14</v>
      </c>
      <c r="D284" s="108"/>
      <c r="E284" s="25"/>
      <c r="F284" s="25"/>
      <c r="G284" s="112" t="s">
        <v>451</v>
      </c>
      <c r="H284" s="112">
        <v>2500</v>
      </c>
      <c r="I284" s="112">
        <v>1</v>
      </c>
      <c r="J284" s="112">
        <v>1</v>
      </c>
      <c r="K284" s="112">
        <v>1</v>
      </c>
      <c r="L284" s="110">
        <f t="shared" si="9"/>
        <v>2500</v>
      </c>
      <c r="M284" s="111"/>
      <c r="N284" s="111"/>
    </row>
    <row r="285" spans="2:14" s="138" customFormat="1" ht="48">
      <c r="B285" s="126">
        <v>276</v>
      </c>
      <c r="C285" s="127">
        <v>15</v>
      </c>
      <c r="D285" s="135" t="s">
        <v>240</v>
      </c>
      <c r="E285" s="129" t="s">
        <v>694</v>
      </c>
      <c r="F285" s="136" t="s">
        <v>695</v>
      </c>
      <c r="G285" s="131" t="s">
        <v>490</v>
      </c>
      <c r="H285" s="137" t="s">
        <v>671</v>
      </c>
      <c r="I285" s="131"/>
      <c r="J285" s="131"/>
      <c r="K285" s="131"/>
      <c r="L285" s="139">
        <f>SUM(L286:L299)</f>
        <v>3696.08</v>
      </c>
      <c r="M285" s="133">
        <v>9028.89</v>
      </c>
      <c r="N285" s="134">
        <v>9028.89</v>
      </c>
    </row>
    <row r="286" spans="2:14" ht="15.75">
      <c r="B286" s="106">
        <v>277</v>
      </c>
      <c r="C286" s="107">
        <v>15</v>
      </c>
      <c r="D286" s="108"/>
      <c r="E286" s="25"/>
      <c r="F286" s="25"/>
      <c r="G286" s="112" t="s">
        <v>453</v>
      </c>
      <c r="H286" s="112">
        <v>25</v>
      </c>
      <c r="I286" s="112">
        <v>3</v>
      </c>
      <c r="J286" s="112">
        <v>1</v>
      </c>
      <c r="K286" s="112">
        <v>12</v>
      </c>
      <c r="L286" s="110">
        <f t="shared" ref="L286:L288" si="10">H286*I286*J286*K286</f>
        <v>900</v>
      </c>
      <c r="M286" s="111"/>
      <c r="N286" s="111"/>
    </row>
    <row r="287" spans="2:14" ht="15.75">
      <c r="B287" s="106">
        <v>278</v>
      </c>
      <c r="C287" s="107">
        <v>15</v>
      </c>
      <c r="D287" s="108"/>
      <c r="E287" s="25"/>
      <c r="F287" s="25"/>
      <c r="G287" s="112" t="s">
        <v>462</v>
      </c>
      <c r="H287" s="112">
        <v>25</v>
      </c>
      <c r="I287" s="112">
        <v>2</v>
      </c>
      <c r="J287" s="112">
        <v>1</v>
      </c>
      <c r="K287" s="112">
        <v>10</v>
      </c>
      <c r="L287" s="110">
        <f t="shared" si="10"/>
        <v>500</v>
      </c>
      <c r="M287" s="111"/>
      <c r="N287" s="111"/>
    </row>
    <row r="288" spans="2:14" ht="15.75">
      <c r="B288" s="106">
        <v>279</v>
      </c>
      <c r="C288" s="107">
        <v>15</v>
      </c>
      <c r="D288" s="108"/>
      <c r="E288" s="25"/>
      <c r="F288" s="25"/>
      <c r="G288" s="112" t="s">
        <v>429</v>
      </c>
      <c r="H288" s="112">
        <v>4</v>
      </c>
      <c r="I288" s="112">
        <v>20</v>
      </c>
      <c r="J288" s="112">
        <v>2</v>
      </c>
      <c r="K288" s="112">
        <v>10</v>
      </c>
      <c r="L288" s="110">
        <f t="shared" si="10"/>
        <v>1600</v>
      </c>
      <c r="M288" s="111"/>
      <c r="N288" s="111"/>
    </row>
    <row r="289" spans="2:14" ht="15.75">
      <c r="B289" s="106">
        <v>280</v>
      </c>
      <c r="C289" s="107">
        <v>15</v>
      </c>
      <c r="D289" s="108"/>
      <c r="E289" s="25"/>
      <c r="F289" s="25"/>
      <c r="G289" s="112" t="s">
        <v>430</v>
      </c>
      <c r="H289" s="112">
        <v>8</v>
      </c>
      <c r="I289" s="112">
        <v>20</v>
      </c>
      <c r="J289" s="112">
        <v>1</v>
      </c>
      <c r="K289" s="112">
        <v>10</v>
      </c>
      <c r="L289" s="110">
        <f t="shared" ref="L289:L299" si="11">H289+I289+J289+K289</f>
        <v>39</v>
      </c>
      <c r="M289" s="111"/>
      <c r="N289" s="111"/>
    </row>
    <row r="290" spans="2:14" ht="24">
      <c r="B290" s="106">
        <v>281</v>
      </c>
      <c r="C290" s="107">
        <v>15</v>
      </c>
      <c r="D290" s="108"/>
      <c r="E290" s="25"/>
      <c r="F290" s="25"/>
      <c r="G290" s="112" t="s">
        <v>431</v>
      </c>
      <c r="H290" s="112">
        <v>10</v>
      </c>
      <c r="I290" s="112">
        <v>15</v>
      </c>
      <c r="J290" s="112">
        <v>1</v>
      </c>
      <c r="K290" s="112">
        <v>10</v>
      </c>
      <c r="L290" s="110">
        <f t="shared" si="11"/>
        <v>36</v>
      </c>
      <c r="M290" s="111"/>
      <c r="N290" s="111"/>
    </row>
    <row r="291" spans="2:14" ht="15.75">
      <c r="B291" s="106">
        <v>282</v>
      </c>
      <c r="C291" s="107">
        <v>15</v>
      </c>
      <c r="D291" s="108"/>
      <c r="E291" s="25"/>
      <c r="F291" s="25"/>
      <c r="G291" s="112" t="s">
        <v>432</v>
      </c>
      <c r="H291" s="112">
        <v>8</v>
      </c>
      <c r="I291" s="112">
        <v>1</v>
      </c>
      <c r="J291" s="112">
        <v>1</v>
      </c>
      <c r="K291" s="112">
        <v>10</v>
      </c>
      <c r="L291" s="110">
        <f t="shared" si="11"/>
        <v>20</v>
      </c>
      <c r="M291" s="111"/>
      <c r="N291" s="111"/>
    </row>
    <row r="292" spans="2:14" ht="15.75">
      <c r="B292" s="106">
        <v>283</v>
      </c>
      <c r="C292" s="107">
        <v>15</v>
      </c>
      <c r="D292" s="108"/>
      <c r="E292" s="25"/>
      <c r="F292" s="25"/>
      <c r="G292" s="112" t="s">
        <v>491</v>
      </c>
      <c r="H292" s="112">
        <v>10</v>
      </c>
      <c r="I292" s="112">
        <v>1</v>
      </c>
      <c r="J292" s="112">
        <v>1</v>
      </c>
      <c r="K292" s="112">
        <v>10</v>
      </c>
      <c r="L292" s="110">
        <f t="shared" si="11"/>
        <v>22</v>
      </c>
      <c r="M292" s="111"/>
      <c r="N292" s="111"/>
    </row>
    <row r="293" spans="2:14" ht="24">
      <c r="B293" s="106">
        <v>284</v>
      </c>
      <c r="C293" s="107">
        <v>15</v>
      </c>
      <c r="D293" s="108"/>
      <c r="E293" s="25"/>
      <c r="F293" s="25"/>
      <c r="G293" s="112" t="s">
        <v>481</v>
      </c>
      <c r="H293" s="112">
        <v>135</v>
      </c>
      <c r="I293" s="112">
        <v>1</v>
      </c>
      <c r="J293" s="112">
        <v>1</v>
      </c>
      <c r="K293" s="112">
        <v>12</v>
      </c>
      <c r="L293" s="110">
        <f t="shared" si="11"/>
        <v>149</v>
      </c>
      <c r="M293" s="111"/>
      <c r="N293" s="111"/>
    </row>
    <row r="294" spans="2:14" ht="24">
      <c r="B294" s="106">
        <v>285</v>
      </c>
      <c r="C294" s="107">
        <v>15</v>
      </c>
      <c r="D294" s="108"/>
      <c r="E294" s="25"/>
      <c r="F294" s="25"/>
      <c r="G294" s="112" t="s">
        <v>482</v>
      </c>
      <c r="H294" s="112">
        <v>10</v>
      </c>
      <c r="I294" s="112">
        <v>15</v>
      </c>
      <c r="J294" s="112">
        <v>1</v>
      </c>
      <c r="K294" s="112">
        <v>1</v>
      </c>
      <c r="L294" s="110">
        <f t="shared" si="11"/>
        <v>27</v>
      </c>
      <c r="M294" s="111"/>
      <c r="N294" s="111"/>
    </row>
    <row r="295" spans="2:14" ht="15.75">
      <c r="B295" s="106">
        <v>286</v>
      </c>
      <c r="C295" s="107">
        <v>15</v>
      </c>
      <c r="D295" s="108"/>
      <c r="E295" s="25"/>
      <c r="F295" s="25"/>
      <c r="G295" s="112" t="s">
        <v>455</v>
      </c>
      <c r="H295" s="112">
        <v>260</v>
      </c>
      <c r="I295" s="112">
        <v>1</v>
      </c>
      <c r="J295" s="112">
        <v>1</v>
      </c>
      <c r="K295" s="112">
        <v>1</v>
      </c>
      <c r="L295" s="110">
        <f t="shared" si="11"/>
        <v>263</v>
      </c>
      <c r="M295" s="111"/>
      <c r="N295" s="111"/>
    </row>
    <row r="296" spans="2:14" ht="15.75">
      <c r="B296" s="106">
        <v>287</v>
      </c>
      <c r="C296" s="107">
        <v>15</v>
      </c>
      <c r="D296" s="108"/>
      <c r="E296" s="25"/>
      <c r="F296" s="25"/>
      <c r="G296" s="112" t="s">
        <v>435</v>
      </c>
      <c r="H296" s="112">
        <v>70</v>
      </c>
      <c r="I296" s="112">
        <v>1</v>
      </c>
      <c r="J296" s="112">
        <v>1</v>
      </c>
      <c r="K296" s="112">
        <v>10</v>
      </c>
      <c r="L296" s="110">
        <f t="shared" si="11"/>
        <v>82</v>
      </c>
      <c r="M296" s="111"/>
      <c r="N296" s="111"/>
    </row>
    <row r="297" spans="2:14" ht="15.75">
      <c r="B297" s="106">
        <v>288</v>
      </c>
      <c r="C297" s="107">
        <v>15</v>
      </c>
      <c r="D297" s="108"/>
      <c r="E297" s="25"/>
      <c r="F297" s="25"/>
      <c r="G297" s="112" t="s">
        <v>447</v>
      </c>
      <c r="H297" s="112">
        <v>1.19</v>
      </c>
      <c r="I297" s="112">
        <v>10</v>
      </c>
      <c r="J297" s="112">
        <v>1</v>
      </c>
      <c r="K297" s="112">
        <v>10</v>
      </c>
      <c r="L297" s="110">
        <f t="shared" si="11"/>
        <v>22.189999999999998</v>
      </c>
      <c r="M297" s="111"/>
      <c r="N297" s="111"/>
    </row>
    <row r="298" spans="2:14" ht="15.75">
      <c r="B298" s="106">
        <v>289</v>
      </c>
      <c r="C298" s="107">
        <v>15</v>
      </c>
      <c r="D298" s="108"/>
      <c r="E298" s="25"/>
      <c r="F298" s="25"/>
      <c r="G298" s="112" t="s">
        <v>483</v>
      </c>
      <c r="H298" s="112">
        <v>20.56</v>
      </c>
      <c r="I298" s="110">
        <v>2</v>
      </c>
      <c r="J298" s="110">
        <v>1</v>
      </c>
      <c r="K298" s="110">
        <v>1</v>
      </c>
      <c r="L298" s="110">
        <f t="shared" si="11"/>
        <v>24.56</v>
      </c>
      <c r="M298" s="111"/>
      <c r="N298" s="111"/>
    </row>
    <row r="299" spans="2:14" ht="15.75">
      <c r="B299" s="106">
        <v>290</v>
      </c>
      <c r="C299" s="107">
        <v>15</v>
      </c>
      <c r="D299" s="108"/>
      <c r="E299" s="25"/>
      <c r="F299" s="25"/>
      <c r="G299" s="112" t="s">
        <v>484</v>
      </c>
      <c r="H299" s="112">
        <v>8.33</v>
      </c>
      <c r="I299" s="110">
        <v>1</v>
      </c>
      <c r="J299" s="110">
        <v>1</v>
      </c>
      <c r="K299" s="110">
        <v>1</v>
      </c>
      <c r="L299" s="110">
        <f t="shared" si="11"/>
        <v>11.33</v>
      </c>
      <c r="M299" s="111"/>
      <c r="N299" s="111"/>
    </row>
    <row r="300" spans="2:14" s="138" customFormat="1" ht="38.25">
      <c r="B300" s="126">
        <v>291</v>
      </c>
      <c r="C300" s="127">
        <v>16</v>
      </c>
      <c r="D300" s="135" t="s">
        <v>238</v>
      </c>
      <c r="E300" s="129" t="s">
        <v>237</v>
      </c>
      <c r="F300" s="136" t="s">
        <v>696</v>
      </c>
      <c r="G300" s="131" t="s">
        <v>493</v>
      </c>
      <c r="H300" s="137" t="s">
        <v>671</v>
      </c>
      <c r="I300" s="131"/>
      <c r="J300" s="131"/>
      <c r="K300" s="131"/>
      <c r="L300" s="139">
        <f>SUM(L301:L304)</f>
        <v>60152</v>
      </c>
      <c r="M300" s="133">
        <v>60152</v>
      </c>
      <c r="N300" s="134">
        <v>60152</v>
      </c>
    </row>
    <row r="301" spans="2:14" ht="15.75">
      <c r="B301" s="106">
        <v>292</v>
      </c>
      <c r="C301" s="107">
        <v>16</v>
      </c>
      <c r="D301" s="108"/>
      <c r="E301" s="25"/>
      <c r="F301" s="25"/>
      <c r="G301" s="112" t="s">
        <v>448</v>
      </c>
      <c r="H301" s="112">
        <v>500</v>
      </c>
      <c r="I301" s="112">
        <v>2</v>
      </c>
      <c r="J301" s="112">
        <v>1</v>
      </c>
      <c r="K301" s="112">
        <v>18</v>
      </c>
      <c r="L301" s="110">
        <f t="shared" ref="L301:L303" si="12">H301*I301*J301*K301</f>
        <v>18000</v>
      </c>
      <c r="M301" s="111"/>
      <c r="N301" s="111"/>
    </row>
    <row r="302" spans="2:14" ht="15.75">
      <c r="B302" s="106">
        <v>293</v>
      </c>
      <c r="C302" s="107">
        <v>16</v>
      </c>
      <c r="D302" s="108"/>
      <c r="E302" s="25"/>
      <c r="F302" s="25"/>
      <c r="G302" s="112" t="s">
        <v>449</v>
      </c>
      <c r="H302" s="112">
        <v>1083</v>
      </c>
      <c r="I302" s="112">
        <v>2</v>
      </c>
      <c r="J302" s="112">
        <v>1</v>
      </c>
      <c r="K302" s="112">
        <v>18</v>
      </c>
      <c r="L302" s="110">
        <f t="shared" si="12"/>
        <v>38988</v>
      </c>
      <c r="M302" s="111"/>
      <c r="N302" s="111"/>
    </row>
    <row r="303" spans="2:14" ht="15.75">
      <c r="B303" s="106">
        <v>294</v>
      </c>
      <c r="C303" s="107">
        <v>16</v>
      </c>
      <c r="D303" s="108"/>
      <c r="E303" s="25"/>
      <c r="F303" s="25"/>
      <c r="G303" s="112" t="s">
        <v>450</v>
      </c>
      <c r="H303" s="112">
        <v>38</v>
      </c>
      <c r="I303" s="112">
        <v>2</v>
      </c>
      <c r="J303" s="112">
        <v>1</v>
      </c>
      <c r="K303" s="112">
        <v>2</v>
      </c>
      <c r="L303" s="110">
        <f t="shared" si="12"/>
        <v>152</v>
      </c>
      <c r="M303" s="111"/>
      <c r="N303" s="111"/>
    </row>
    <row r="304" spans="2:14" ht="15.75">
      <c r="B304" s="106">
        <v>295</v>
      </c>
      <c r="C304" s="107">
        <v>16</v>
      </c>
      <c r="D304" s="108"/>
      <c r="E304" s="25"/>
      <c r="F304" s="25"/>
      <c r="G304" s="112" t="s">
        <v>451</v>
      </c>
      <c r="H304" s="140">
        <v>3008</v>
      </c>
      <c r="I304" s="112">
        <v>2</v>
      </c>
      <c r="J304" s="112">
        <v>1</v>
      </c>
      <c r="K304" s="112">
        <v>1</v>
      </c>
      <c r="L304" s="110">
        <f>H304+I304+J304+K304</f>
        <v>3012</v>
      </c>
      <c r="M304" s="111"/>
      <c r="N304" s="111"/>
    </row>
    <row r="305" spans="2:14" s="138" customFormat="1" ht="25.5">
      <c r="B305" s="126">
        <v>296</v>
      </c>
      <c r="C305" s="127">
        <v>17</v>
      </c>
      <c r="D305" s="135" t="s">
        <v>236</v>
      </c>
      <c r="E305" s="129" t="s">
        <v>235</v>
      </c>
      <c r="F305" s="136" t="s">
        <v>697</v>
      </c>
      <c r="G305" s="131" t="s">
        <v>494</v>
      </c>
      <c r="H305" s="137" t="s">
        <v>671</v>
      </c>
      <c r="I305" s="131"/>
      <c r="J305" s="131"/>
      <c r="K305" s="131"/>
      <c r="L305" s="139">
        <f>SUM(L306:L309)</f>
        <v>10376</v>
      </c>
      <c r="M305" s="133">
        <v>10376</v>
      </c>
      <c r="N305" s="134">
        <v>10376</v>
      </c>
    </row>
    <row r="306" spans="2:14" ht="15.75">
      <c r="B306" s="106">
        <v>297</v>
      </c>
      <c r="C306" s="107">
        <v>17</v>
      </c>
      <c r="D306" s="108"/>
      <c r="E306" s="25"/>
      <c r="F306" s="25"/>
      <c r="G306" s="112" t="s">
        <v>448</v>
      </c>
      <c r="H306" s="112">
        <v>2350</v>
      </c>
      <c r="I306" s="112">
        <v>1</v>
      </c>
      <c r="J306" s="112">
        <v>1</v>
      </c>
      <c r="K306" s="112">
        <v>3</v>
      </c>
      <c r="L306" s="110">
        <f>H306*I306*J306*K306</f>
        <v>7050</v>
      </c>
      <c r="M306" s="111"/>
      <c r="N306" s="111"/>
    </row>
    <row r="307" spans="2:14" ht="15.75">
      <c r="B307" s="106">
        <v>298</v>
      </c>
      <c r="C307" s="107">
        <v>17</v>
      </c>
      <c r="D307" s="108"/>
      <c r="E307" s="25"/>
      <c r="F307" s="25"/>
      <c r="G307" s="112" t="s">
        <v>449</v>
      </c>
      <c r="H307" s="112">
        <v>500</v>
      </c>
      <c r="I307" s="112">
        <v>1</v>
      </c>
      <c r="J307" s="112">
        <v>1</v>
      </c>
      <c r="K307" s="112">
        <v>21</v>
      </c>
      <c r="L307" s="110">
        <f t="shared" ref="L307:L308" si="13">H307+I307+J307+K307</f>
        <v>523</v>
      </c>
      <c r="M307" s="111"/>
      <c r="N307" s="111"/>
    </row>
    <row r="308" spans="2:14" ht="15.75">
      <c r="B308" s="106">
        <v>299</v>
      </c>
      <c r="C308" s="107">
        <v>17</v>
      </c>
      <c r="D308" s="108"/>
      <c r="E308" s="25"/>
      <c r="F308" s="25"/>
      <c r="G308" s="112" t="s">
        <v>450</v>
      </c>
      <c r="H308" s="112">
        <v>38</v>
      </c>
      <c r="I308" s="112">
        <v>1</v>
      </c>
      <c r="J308" s="112">
        <v>1</v>
      </c>
      <c r="K308" s="112">
        <v>2</v>
      </c>
      <c r="L308" s="110">
        <f t="shared" si="13"/>
        <v>42</v>
      </c>
      <c r="M308" s="111"/>
      <c r="N308" s="111"/>
    </row>
    <row r="309" spans="2:14" ht="15.75">
      <c r="B309" s="106">
        <v>300</v>
      </c>
      <c r="C309" s="107">
        <v>17</v>
      </c>
      <c r="D309" s="108"/>
      <c r="E309" s="25"/>
      <c r="F309" s="25"/>
      <c r="G309" s="112" t="s">
        <v>451</v>
      </c>
      <c r="H309" s="112">
        <v>2758</v>
      </c>
      <c r="I309" s="112">
        <v>1</v>
      </c>
      <c r="J309" s="112">
        <v>1</v>
      </c>
      <c r="K309" s="112">
        <v>1</v>
      </c>
      <c r="L309" s="110">
        <f>H309+I309+J309+K309</f>
        <v>2761</v>
      </c>
      <c r="M309" s="111"/>
      <c r="N309" s="111"/>
    </row>
    <row r="310" spans="2:14" s="138" customFormat="1" ht="38.25">
      <c r="B310" s="126">
        <v>301</v>
      </c>
      <c r="C310" s="127">
        <v>18</v>
      </c>
      <c r="D310" s="135" t="s">
        <v>234</v>
      </c>
      <c r="E310" s="129" t="s">
        <v>233</v>
      </c>
      <c r="F310" s="136" t="s">
        <v>698</v>
      </c>
      <c r="G310" s="131" t="s">
        <v>495</v>
      </c>
      <c r="H310" s="137" t="s">
        <v>671</v>
      </c>
      <c r="I310" s="131"/>
      <c r="J310" s="131"/>
      <c r="K310" s="131"/>
      <c r="L310" s="139">
        <f>SUM(L311:L314)</f>
        <v>38152</v>
      </c>
      <c r="M310" s="133">
        <v>38152</v>
      </c>
      <c r="N310" s="134">
        <v>38152</v>
      </c>
    </row>
    <row r="311" spans="2:14" ht="15.75">
      <c r="B311" s="106">
        <v>302</v>
      </c>
      <c r="C311" s="107">
        <v>18</v>
      </c>
      <c r="D311" s="108"/>
      <c r="E311" s="25"/>
      <c r="F311" s="25"/>
      <c r="G311" s="112" t="s">
        <v>448</v>
      </c>
      <c r="H311" s="112">
        <v>500</v>
      </c>
      <c r="I311" s="112">
        <v>2</v>
      </c>
      <c r="J311" s="112">
        <v>1</v>
      </c>
      <c r="K311" s="112">
        <v>6</v>
      </c>
      <c r="L311" s="110">
        <f>H311*I311*J311*K311</f>
        <v>6000</v>
      </c>
      <c r="M311" s="111"/>
      <c r="N311" s="111"/>
    </row>
    <row r="312" spans="2:14" ht="15.75">
      <c r="B312" s="106">
        <v>303</v>
      </c>
      <c r="C312" s="107">
        <v>18</v>
      </c>
      <c r="D312" s="108"/>
      <c r="E312" s="25"/>
      <c r="F312" s="25"/>
      <c r="G312" s="112" t="s">
        <v>449</v>
      </c>
      <c r="H312" s="112">
        <v>300</v>
      </c>
      <c r="I312" s="112">
        <v>2</v>
      </c>
      <c r="J312" s="112">
        <v>1</v>
      </c>
      <c r="K312" s="112">
        <v>45</v>
      </c>
      <c r="L312" s="110">
        <f t="shared" ref="L312:L314" si="14">H312*I312*J312*K312</f>
        <v>27000</v>
      </c>
      <c r="M312" s="111"/>
      <c r="N312" s="111"/>
    </row>
    <row r="313" spans="2:14" ht="15.75">
      <c r="B313" s="106">
        <v>304</v>
      </c>
      <c r="C313" s="107">
        <v>18</v>
      </c>
      <c r="D313" s="108"/>
      <c r="E313" s="25"/>
      <c r="F313" s="25"/>
      <c r="G313" s="112" t="s">
        <v>450</v>
      </c>
      <c r="H313" s="112">
        <v>38</v>
      </c>
      <c r="I313" s="112">
        <v>2</v>
      </c>
      <c r="J313" s="112">
        <v>1</v>
      </c>
      <c r="K313" s="112">
        <v>2</v>
      </c>
      <c r="L313" s="110">
        <f t="shared" si="14"/>
        <v>152</v>
      </c>
      <c r="M313" s="111"/>
      <c r="N313" s="111"/>
    </row>
    <row r="314" spans="2:14" ht="15.75">
      <c r="B314" s="106">
        <v>305</v>
      </c>
      <c r="C314" s="107">
        <v>18</v>
      </c>
      <c r="D314" s="108"/>
      <c r="E314" s="25"/>
      <c r="F314" s="25"/>
      <c r="G314" s="112" t="s">
        <v>451</v>
      </c>
      <c r="H314" s="112">
        <v>2500</v>
      </c>
      <c r="I314" s="112">
        <v>2</v>
      </c>
      <c r="J314" s="112">
        <v>1</v>
      </c>
      <c r="K314" s="112">
        <v>1</v>
      </c>
      <c r="L314" s="110">
        <f t="shared" si="14"/>
        <v>5000</v>
      </c>
      <c r="M314" s="111"/>
      <c r="N314" s="111"/>
    </row>
    <row r="315" spans="2:14" s="138" customFormat="1" ht="51">
      <c r="B315" s="126">
        <v>306</v>
      </c>
      <c r="C315" s="127">
        <v>19</v>
      </c>
      <c r="D315" s="135" t="s">
        <v>232</v>
      </c>
      <c r="E315" s="129" t="s">
        <v>1041</v>
      </c>
      <c r="F315" s="136" t="s">
        <v>1042</v>
      </c>
      <c r="G315" s="131" t="s">
        <v>231</v>
      </c>
      <c r="H315" s="137" t="s">
        <v>671</v>
      </c>
      <c r="I315" s="131"/>
      <c r="J315" s="131"/>
      <c r="K315" s="131"/>
      <c r="L315" s="139">
        <f>SUM(L316:L319)</f>
        <v>20752</v>
      </c>
      <c r="M315" s="133">
        <v>20752</v>
      </c>
      <c r="N315" s="134">
        <v>31128</v>
      </c>
    </row>
    <row r="316" spans="2:14" ht="15.75">
      <c r="B316" s="106">
        <v>307</v>
      </c>
      <c r="C316" s="107">
        <v>19</v>
      </c>
      <c r="D316" s="108"/>
      <c r="E316" s="25"/>
      <c r="F316" s="25"/>
      <c r="G316" s="112" t="s">
        <v>448</v>
      </c>
      <c r="H316" s="112">
        <v>2730</v>
      </c>
      <c r="I316" s="112">
        <v>2</v>
      </c>
      <c r="J316" s="112">
        <v>1</v>
      </c>
      <c r="K316" s="112">
        <v>3</v>
      </c>
      <c r="L316" s="110">
        <f>H316*I316*J316*K316</f>
        <v>16380</v>
      </c>
      <c r="M316" s="111"/>
      <c r="N316" s="111"/>
    </row>
    <row r="317" spans="2:14" ht="15.75">
      <c r="B317" s="106">
        <v>308</v>
      </c>
      <c r="C317" s="107">
        <v>19</v>
      </c>
      <c r="D317" s="108"/>
      <c r="E317" s="25"/>
      <c r="F317" s="25"/>
      <c r="G317" s="112" t="s">
        <v>449</v>
      </c>
      <c r="H317" s="112">
        <v>650</v>
      </c>
      <c r="I317" s="112">
        <v>2</v>
      </c>
      <c r="J317" s="112">
        <v>1</v>
      </c>
      <c r="K317" s="112">
        <v>21</v>
      </c>
      <c r="L317" s="110">
        <f t="shared" ref="L317:L318" si="15">H317+I317+J317+K317</f>
        <v>674</v>
      </c>
      <c r="M317" s="111"/>
      <c r="N317" s="111"/>
    </row>
    <row r="318" spans="2:14" ht="15.75">
      <c r="B318" s="106">
        <v>309</v>
      </c>
      <c r="C318" s="107">
        <v>19</v>
      </c>
      <c r="D318" s="108"/>
      <c r="E318" s="25"/>
      <c r="F318" s="25"/>
      <c r="G318" s="112" t="s">
        <v>450</v>
      </c>
      <c r="H318" s="112">
        <v>38</v>
      </c>
      <c r="I318" s="112">
        <v>2</v>
      </c>
      <c r="J318" s="112">
        <v>1</v>
      </c>
      <c r="K318" s="112">
        <v>2</v>
      </c>
      <c r="L318" s="110">
        <f t="shared" si="15"/>
        <v>43</v>
      </c>
      <c r="M318" s="111"/>
      <c r="N318" s="111"/>
    </row>
    <row r="319" spans="2:14" ht="15.75">
      <c r="B319" s="106">
        <v>310</v>
      </c>
      <c r="C319" s="107">
        <v>19</v>
      </c>
      <c r="D319" s="108"/>
      <c r="E319" s="25"/>
      <c r="F319" s="25"/>
      <c r="G319" s="112" t="s">
        <v>451</v>
      </c>
      <c r="H319" s="112">
        <v>3651</v>
      </c>
      <c r="I319" s="112">
        <v>2</v>
      </c>
      <c r="J319" s="112">
        <v>1</v>
      </c>
      <c r="K319" s="112">
        <v>1</v>
      </c>
      <c r="L319" s="110">
        <f>H319+I319+J319+K319</f>
        <v>3655</v>
      </c>
      <c r="M319" s="111"/>
      <c r="N319" s="111"/>
    </row>
    <row r="320" spans="2:14" s="138" customFormat="1" ht="51">
      <c r="B320" s="126">
        <v>311</v>
      </c>
      <c r="C320" s="127">
        <v>20</v>
      </c>
      <c r="D320" s="135" t="s">
        <v>230</v>
      </c>
      <c r="E320" s="129" t="s">
        <v>699</v>
      </c>
      <c r="F320" s="136" t="s">
        <v>700</v>
      </c>
      <c r="G320" s="131" t="s">
        <v>229</v>
      </c>
      <c r="H320" s="137" t="s">
        <v>671</v>
      </c>
      <c r="I320" s="131"/>
      <c r="J320" s="131"/>
      <c r="K320" s="131"/>
      <c r="L320" s="139">
        <f>SUM(L321:L335)</f>
        <v>4103.0599999999995</v>
      </c>
      <c r="M320" s="133">
        <v>4103.0600000000004</v>
      </c>
      <c r="N320" s="134">
        <v>4103</v>
      </c>
    </row>
    <row r="321" spans="2:14" ht="15.75">
      <c r="B321" s="106">
        <v>312</v>
      </c>
      <c r="C321" s="107">
        <v>20</v>
      </c>
      <c r="D321" s="108"/>
      <c r="E321" s="25"/>
      <c r="F321" s="25"/>
      <c r="G321" s="112" t="s">
        <v>453</v>
      </c>
      <c r="H321" s="112">
        <v>25</v>
      </c>
      <c r="I321" s="110">
        <v>2</v>
      </c>
      <c r="J321" s="110">
        <v>1</v>
      </c>
      <c r="K321" s="112">
        <v>5</v>
      </c>
      <c r="L321" s="110">
        <f>H321*I321*J321*K321</f>
        <v>250</v>
      </c>
      <c r="M321" s="111"/>
      <c r="N321" s="111"/>
    </row>
    <row r="322" spans="2:14" ht="15.75">
      <c r="B322" s="106">
        <v>313</v>
      </c>
      <c r="C322" s="107">
        <v>20</v>
      </c>
      <c r="D322" s="108"/>
      <c r="E322" s="25"/>
      <c r="F322" s="25"/>
      <c r="G322" s="112" t="s">
        <v>462</v>
      </c>
      <c r="H322" s="112">
        <v>25</v>
      </c>
      <c r="I322" s="110">
        <v>1</v>
      </c>
      <c r="J322" s="110">
        <v>1</v>
      </c>
      <c r="K322" s="112">
        <v>5</v>
      </c>
      <c r="L322" s="110">
        <f t="shared" ref="L322:L334" si="16">H322*I322*J322*K322</f>
        <v>125</v>
      </c>
      <c r="M322" s="111"/>
      <c r="N322" s="111"/>
    </row>
    <row r="323" spans="2:14" ht="15.75">
      <c r="B323" s="106">
        <v>314</v>
      </c>
      <c r="C323" s="107">
        <v>20</v>
      </c>
      <c r="D323" s="108"/>
      <c r="E323" s="25"/>
      <c r="F323" s="25"/>
      <c r="G323" s="112" t="s">
        <v>568</v>
      </c>
      <c r="H323" s="112">
        <v>4</v>
      </c>
      <c r="I323" s="110">
        <v>16</v>
      </c>
      <c r="J323" s="110">
        <v>1</v>
      </c>
      <c r="K323" s="112">
        <v>5</v>
      </c>
      <c r="L323" s="110">
        <f t="shared" si="16"/>
        <v>320</v>
      </c>
      <c r="M323" s="111"/>
      <c r="N323" s="111"/>
    </row>
    <row r="324" spans="2:14" ht="15.75">
      <c r="B324" s="106">
        <v>315</v>
      </c>
      <c r="C324" s="107">
        <v>20</v>
      </c>
      <c r="D324" s="108"/>
      <c r="E324" s="25"/>
      <c r="F324" s="25"/>
      <c r="G324" s="112" t="s">
        <v>569</v>
      </c>
      <c r="H324" s="112">
        <v>8</v>
      </c>
      <c r="I324" s="110">
        <v>16</v>
      </c>
      <c r="J324" s="110">
        <v>1</v>
      </c>
      <c r="K324" s="112">
        <v>5</v>
      </c>
      <c r="L324" s="110">
        <f t="shared" si="16"/>
        <v>640</v>
      </c>
      <c r="M324" s="111"/>
      <c r="N324" s="111"/>
    </row>
    <row r="325" spans="2:14" ht="24">
      <c r="B325" s="106">
        <v>316</v>
      </c>
      <c r="C325" s="107">
        <v>20</v>
      </c>
      <c r="D325" s="108"/>
      <c r="E325" s="25"/>
      <c r="F325" s="25"/>
      <c r="G325" s="112" t="s">
        <v>570</v>
      </c>
      <c r="H325" s="112">
        <v>10</v>
      </c>
      <c r="I325" s="110">
        <v>12</v>
      </c>
      <c r="J325" s="110">
        <v>1</v>
      </c>
      <c r="K325" s="112">
        <v>5</v>
      </c>
      <c r="L325" s="110">
        <f t="shared" si="16"/>
        <v>600</v>
      </c>
      <c r="M325" s="111"/>
      <c r="N325" s="111"/>
    </row>
    <row r="326" spans="2:14" ht="15.75">
      <c r="B326" s="106">
        <v>317</v>
      </c>
      <c r="C326" s="107">
        <v>20</v>
      </c>
      <c r="D326" s="108"/>
      <c r="E326" s="25"/>
      <c r="F326" s="25"/>
      <c r="G326" s="112" t="s">
        <v>432</v>
      </c>
      <c r="H326" s="112">
        <v>8</v>
      </c>
      <c r="I326" s="110">
        <v>1</v>
      </c>
      <c r="J326" s="110">
        <v>1</v>
      </c>
      <c r="K326" s="112">
        <v>5</v>
      </c>
      <c r="L326" s="110">
        <f t="shared" si="16"/>
        <v>40</v>
      </c>
      <c r="M326" s="111"/>
      <c r="N326" s="111"/>
    </row>
    <row r="327" spans="2:14" ht="15.75">
      <c r="B327" s="106">
        <v>318</v>
      </c>
      <c r="C327" s="107">
        <v>20</v>
      </c>
      <c r="D327" s="108"/>
      <c r="E327" s="25"/>
      <c r="F327" s="25"/>
      <c r="G327" s="112" t="s">
        <v>463</v>
      </c>
      <c r="H327" s="112">
        <v>119</v>
      </c>
      <c r="I327" s="110">
        <v>1</v>
      </c>
      <c r="J327" s="110">
        <v>1</v>
      </c>
      <c r="K327" s="112">
        <v>7</v>
      </c>
      <c r="L327" s="110">
        <f t="shared" si="16"/>
        <v>833</v>
      </c>
      <c r="M327" s="111"/>
      <c r="N327" s="111"/>
    </row>
    <row r="328" spans="2:14" ht="15.75">
      <c r="B328" s="106">
        <v>319</v>
      </c>
      <c r="C328" s="107">
        <v>20</v>
      </c>
      <c r="D328" s="108"/>
      <c r="E328" s="25"/>
      <c r="F328" s="25"/>
      <c r="G328" s="112" t="s">
        <v>434</v>
      </c>
      <c r="H328" s="112">
        <v>10</v>
      </c>
      <c r="I328" s="110">
        <v>12</v>
      </c>
      <c r="J328" s="110">
        <v>1</v>
      </c>
      <c r="K328" s="112">
        <v>1</v>
      </c>
      <c r="L328" s="110">
        <f t="shared" si="16"/>
        <v>120</v>
      </c>
      <c r="M328" s="111"/>
      <c r="N328" s="111"/>
    </row>
    <row r="329" spans="2:14" ht="15.75">
      <c r="B329" s="106">
        <v>320</v>
      </c>
      <c r="C329" s="107">
        <v>20</v>
      </c>
      <c r="D329" s="108"/>
      <c r="E329" s="25"/>
      <c r="F329" s="25"/>
      <c r="G329" s="112" t="s">
        <v>455</v>
      </c>
      <c r="H329" s="112">
        <v>260</v>
      </c>
      <c r="I329" s="110">
        <v>1</v>
      </c>
      <c r="J329" s="110">
        <v>1</v>
      </c>
      <c r="K329" s="112">
        <v>1</v>
      </c>
      <c r="L329" s="110">
        <f t="shared" si="16"/>
        <v>260</v>
      </c>
      <c r="M329" s="111"/>
      <c r="N329" s="111"/>
    </row>
    <row r="330" spans="2:14" ht="15.75">
      <c r="B330" s="106">
        <v>321</v>
      </c>
      <c r="C330" s="107">
        <v>20</v>
      </c>
      <c r="D330" s="108"/>
      <c r="E330" s="25"/>
      <c r="F330" s="25"/>
      <c r="G330" s="112" t="s">
        <v>435</v>
      </c>
      <c r="H330" s="112">
        <v>70</v>
      </c>
      <c r="I330" s="110">
        <v>1</v>
      </c>
      <c r="J330" s="110">
        <v>1</v>
      </c>
      <c r="K330" s="112">
        <v>5</v>
      </c>
      <c r="L330" s="110">
        <f t="shared" si="16"/>
        <v>350</v>
      </c>
      <c r="M330" s="111"/>
      <c r="N330" s="111"/>
    </row>
    <row r="331" spans="2:14" ht="15.75">
      <c r="B331" s="106">
        <v>322</v>
      </c>
      <c r="C331" s="107">
        <v>20</v>
      </c>
      <c r="D331" s="108"/>
      <c r="E331" s="25"/>
      <c r="F331" s="25"/>
      <c r="G331" s="112" t="s">
        <v>443</v>
      </c>
      <c r="H331" s="112">
        <v>8.33</v>
      </c>
      <c r="I331" s="110">
        <v>2</v>
      </c>
      <c r="J331" s="110">
        <v>1</v>
      </c>
      <c r="K331" s="112">
        <v>1</v>
      </c>
      <c r="L331" s="110">
        <f t="shared" si="16"/>
        <v>16.66</v>
      </c>
      <c r="M331" s="111"/>
      <c r="N331" s="111"/>
    </row>
    <row r="332" spans="2:14" ht="15.75">
      <c r="B332" s="106">
        <v>323</v>
      </c>
      <c r="C332" s="107">
        <v>20</v>
      </c>
      <c r="D332" s="108"/>
      <c r="E332" s="25"/>
      <c r="F332" s="25"/>
      <c r="G332" s="112" t="s">
        <v>464</v>
      </c>
      <c r="H332" s="112">
        <v>305.56</v>
      </c>
      <c r="I332" s="112">
        <v>1</v>
      </c>
      <c r="J332" s="110">
        <v>1</v>
      </c>
      <c r="K332" s="112">
        <v>1</v>
      </c>
      <c r="L332" s="110">
        <f t="shared" si="16"/>
        <v>305.56</v>
      </c>
      <c r="M332" s="111"/>
      <c r="N332" s="111"/>
    </row>
    <row r="333" spans="2:14" ht="15.75">
      <c r="B333" s="106">
        <v>324</v>
      </c>
      <c r="C333" s="107">
        <v>20</v>
      </c>
      <c r="D333" s="108"/>
      <c r="E333" s="25"/>
      <c r="F333" s="25"/>
      <c r="G333" s="112" t="s">
        <v>465</v>
      </c>
      <c r="H333" s="112">
        <v>166.67</v>
      </c>
      <c r="I333" s="112">
        <v>1</v>
      </c>
      <c r="J333" s="110">
        <v>1</v>
      </c>
      <c r="K333" s="112">
        <v>1</v>
      </c>
      <c r="L333" s="110">
        <f t="shared" si="16"/>
        <v>166.67</v>
      </c>
      <c r="M333" s="111"/>
      <c r="N333" s="111"/>
    </row>
    <row r="334" spans="2:14" ht="15.75">
      <c r="B334" s="106">
        <v>325</v>
      </c>
      <c r="C334" s="107">
        <v>20</v>
      </c>
      <c r="D334" s="108"/>
      <c r="E334" s="25"/>
      <c r="F334" s="25"/>
      <c r="G334" s="112" t="s">
        <v>447</v>
      </c>
      <c r="H334" s="112">
        <v>1.19</v>
      </c>
      <c r="I334" s="112">
        <v>10</v>
      </c>
      <c r="J334" s="110">
        <v>1</v>
      </c>
      <c r="K334" s="112">
        <v>5</v>
      </c>
      <c r="L334" s="110">
        <f t="shared" si="16"/>
        <v>59.499999999999993</v>
      </c>
      <c r="M334" s="111"/>
      <c r="N334" s="111"/>
    </row>
    <row r="335" spans="2:14" ht="15.75">
      <c r="B335" s="106">
        <v>326</v>
      </c>
      <c r="C335" s="107">
        <v>20</v>
      </c>
      <c r="D335" s="108"/>
      <c r="E335" s="25"/>
      <c r="F335" s="25"/>
      <c r="G335" s="112" t="s">
        <v>459</v>
      </c>
      <c r="H335" s="112">
        <v>16.670000000000002</v>
      </c>
      <c r="I335" s="112">
        <v>1</v>
      </c>
      <c r="J335" s="110">
        <v>1</v>
      </c>
      <c r="K335" s="112">
        <v>1</v>
      </c>
      <c r="L335" s="110">
        <f>H335*I335*J335*K335</f>
        <v>16.670000000000002</v>
      </c>
      <c r="M335" s="111"/>
      <c r="N335" s="111"/>
    </row>
    <row r="336" spans="2:14" s="138" customFormat="1" ht="51">
      <c r="B336" s="126">
        <v>327</v>
      </c>
      <c r="C336" s="127">
        <v>21</v>
      </c>
      <c r="D336" s="135" t="s">
        <v>228</v>
      </c>
      <c r="E336" s="129" t="s">
        <v>701</v>
      </c>
      <c r="F336" s="136" t="s">
        <v>702</v>
      </c>
      <c r="G336" s="131" t="s">
        <v>227</v>
      </c>
      <c r="H336" s="137" t="s">
        <v>671</v>
      </c>
      <c r="I336" s="131"/>
      <c r="J336" s="131"/>
      <c r="K336" s="131"/>
      <c r="L336" s="139">
        <f>SUM(L337:L351)</f>
        <v>4103.0599999999995</v>
      </c>
      <c r="M336" s="133">
        <v>4103.0600000000004</v>
      </c>
      <c r="N336" s="134">
        <v>4103.0600000000004</v>
      </c>
    </row>
    <row r="337" spans="2:14" ht="15.75">
      <c r="B337" s="106">
        <v>328</v>
      </c>
      <c r="C337" s="107">
        <v>21</v>
      </c>
      <c r="D337" s="108"/>
      <c r="E337" s="25"/>
      <c r="F337" s="25"/>
      <c r="G337" s="112" t="s">
        <v>453</v>
      </c>
      <c r="H337" s="112">
        <v>25</v>
      </c>
      <c r="I337" s="110">
        <v>2</v>
      </c>
      <c r="J337" s="110">
        <v>1</v>
      </c>
      <c r="K337" s="112">
        <v>5</v>
      </c>
      <c r="L337" s="110">
        <f>H337*I337*J337*K337</f>
        <v>250</v>
      </c>
      <c r="M337" s="111"/>
      <c r="N337" s="111"/>
    </row>
    <row r="338" spans="2:14" ht="15.75">
      <c r="B338" s="106">
        <v>329</v>
      </c>
      <c r="C338" s="107">
        <v>21</v>
      </c>
      <c r="D338" s="108"/>
      <c r="E338" s="25"/>
      <c r="F338" s="25"/>
      <c r="G338" s="112" t="s">
        <v>462</v>
      </c>
      <c r="H338" s="112">
        <v>25</v>
      </c>
      <c r="I338" s="110">
        <v>1</v>
      </c>
      <c r="J338" s="110">
        <v>1</v>
      </c>
      <c r="K338" s="112">
        <v>5</v>
      </c>
      <c r="L338" s="110">
        <f t="shared" ref="L338:L350" si="17">H338*I338*J338*K338</f>
        <v>125</v>
      </c>
      <c r="M338" s="111"/>
      <c r="N338" s="111"/>
    </row>
    <row r="339" spans="2:14" ht="15.75">
      <c r="B339" s="106">
        <v>330</v>
      </c>
      <c r="C339" s="107">
        <v>21</v>
      </c>
      <c r="D339" s="108"/>
      <c r="E339" s="25"/>
      <c r="F339" s="25"/>
      <c r="G339" s="112" t="s">
        <v>568</v>
      </c>
      <c r="H339" s="112">
        <v>4</v>
      </c>
      <c r="I339" s="110">
        <v>16</v>
      </c>
      <c r="J339" s="110">
        <v>1</v>
      </c>
      <c r="K339" s="112">
        <v>5</v>
      </c>
      <c r="L339" s="110">
        <f t="shared" si="17"/>
        <v>320</v>
      </c>
      <c r="M339" s="111"/>
      <c r="N339" s="111"/>
    </row>
    <row r="340" spans="2:14" ht="15.75">
      <c r="B340" s="106">
        <v>331</v>
      </c>
      <c r="C340" s="107">
        <v>21</v>
      </c>
      <c r="D340" s="108"/>
      <c r="E340" s="25"/>
      <c r="F340" s="25"/>
      <c r="G340" s="112" t="s">
        <v>569</v>
      </c>
      <c r="H340" s="112">
        <v>8</v>
      </c>
      <c r="I340" s="110">
        <v>16</v>
      </c>
      <c r="J340" s="110">
        <v>1</v>
      </c>
      <c r="K340" s="112">
        <v>5</v>
      </c>
      <c r="L340" s="110">
        <f t="shared" si="17"/>
        <v>640</v>
      </c>
      <c r="M340" s="111"/>
      <c r="N340" s="111"/>
    </row>
    <row r="341" spans="2:14" ht="24">
      <c r="B341" s="106">
        <v>332</v>
      </c>
      <c r="C341" s="107">
        <v>21</v>
      </c>
      <c r="D341" s="108"/>
      <c r="E341" s="25"/>
      <c r="F341" s="25"/>
      <c r="G341" s="112" t="s">
        <v>570</v>
      </c>
      <c r="H341" s="112">
        <v>10</v>
      </c>
      <c r="I341" s="110">
        <v>12</v>
      </c>
      <c r="J341" s="110">
        <v>1</v>
      </c>
      <c r="K341" s="112">
        <v>5</v>
      </c>
      <c r="L341" s="110">
        <f t="shared" si="17"/>
        <v>600</v>
      </c>
      <c r="M341" s="111"/>
      <c r="N341" s="111"/>
    </row>
    <row r="342" spans="2:14" ht="15.75">
      <c r="B342" s="106">
        <v>333</v>
      </c>
      <c r="C342" s="107">
        <v>21</v>
      </c>
      <c r="D342" s="108"/>
      <c r="E342" s="25"/>
      <c r="F342" s="25"/>
      <c r="G342" s="112" t="s">
        <v>432</v>
      </c>
      <c r="H342" s="112">
        <v>8</v>
      </c>
      <c r="I342" s="110">
        <v>1</v>
      </c>
      <c r="J342" s="110">
        <v>1</v>
      </c>
      <c r="K342" s="112">
        <v>5</v>
      </c>
      <c r="L342" s="110">
        <f t="shared" si="17"/>
        <v>40</v>
      </c>
      <c r="M342" s="111"/>
      <c r="N342" s="111"/>
    </row>
    <row r="343" spans="2:14" ht="15.75">
      <c r="B343" s="106">
        <v>334</v>
      </c>
      <c r="C343" s="107">
        <v>21</v>
      </c>
      <c r="D343" s="108"/>
      <c r="E343" s="25"/>
      <c r="F343" s="25"/>
      <c r="G343" s="112" t="s">
        <v>463</v>
      </c>
      <c r="H343" s="112">
        <v>119</v>
      </c>
      <c r="I343" s="110">
        <v>1</v>
      </c>
      <c r="J343" s="110">
        <v>1</v>
      </c>
      <c r="K343" s="112">
        <v>7</v>
      </c>
      <c r="L343" s="110">
        <f t="shared" si="17"/>
        <v>833</v>
      </c>
      <c r="M343" s="111"/>
      <c r="N343" s="111"/>
    </row>
    <row r="344" spans="2:14" ht="15.75">
      <c r="B344" s="106">
        <v>335</v>
      </c>
      <c r="C344" s="107">
        <v>21</v>
      </c>
      <c r="D344" s="108"/>
      <c r="E344" s="25"/>
      <c r="F344" s="25"/>
      <c r="G344" s="112" t="s">
        <v>434</v>
      </c>
      <c r="H344" s="112">
        <v>10</v>
      </c>
      <c r="I344" s="110">
        <v>12</v>
      </c>
      <c r="J344" s="110">
        <v>1</v>
      </c>
      <c r="K344" s="112">
        <v>1</v>
      </c>
      <c r="L344" s="110">
        <f t="shared" si="17"/>
        <v>120</v>
      </c>
      <c r="M344" s="111"/>
      <c r="N344" s="111"/>
    </row>
    <row r="345" spans="2:14" ht="15.75">
      <c r="B345" s="106">
        <v>336</v>
      </c>
      <c r="C345" s="107">
        <v>21</v>
      </c>
      <c r="D345" s="108"/>
      <c r="E345" s="25"/>
      <c r="F345" s="25"/>
      <c r="G345" s="112" t="s">
        <v>455</v>
      </c>
      <c r="H345" s="112">
        <v>260</v>
      </c>
      <c r="I345" s="110">
        <v>1</v>
      </c>
      <c r="J345" s="110">
        <v>1</v>
      </c>
      <c r="K345" s="112">
        <v>1</v>
      </c>
      <c r="L345" s="110">
        <f t="shared" si="17"/>
        <v>260</v>
      </c>
      <c r="M345" s="111"/>
      <c r="N345" s="111"/>
    </row>
    <row r="346" spans="2:14" ht="15.75">
      <c r="B346" s="106">
        <v>337</v>
      </c>
      <c r="C346" s="107">
        <v>21</v>
      </c>
      <c r="D346" s="108"/>
      <c r="E346" s="25"/>
      <c r="F346" s="25"/>
      <c r="G346" s="112" t="s">
        <v>435</v>
      </c>
      <c r="H346" s="112">
        <v>70</v>
      </c>
      <c r="I346" s="110">
        <v>1</v>
      </c>
      <c r="J346" s="110">
        <v>1</v>
      </c>
      <c r="K346" s="112">
        <v>5</v>
      </c>
      <c r="L346" s="110">
        <f t="shared" si="17"/>
        <v>350</v>
      </c>
      <c r="M346" s="111"/>
      <c r="N346" s="111"/>
    </row>
    <row r="347" spans="2:14" ht="15.75">
      <c r="B347" s="106">
        <v>338</v>
      </c>
      <c r="C347" s="107">
        <v>21</v>
      </c>
      <c r="D347" s="108"/>
      <c r="E347" s="25"/>
      <c r="F347" s="25"/>
      <c r="G347" s="112" t="s">
        <v>443</v>
      </c>
      <c r="H347" s="112">
        <v>8.33</v>
      </c>
      <c r="I347" s="110">
        <v>2</v>
      </c>
      <c r="J347" s="110">
        <v>1</v>
      </c>
      <c r="K347" s="112">
        <v>1</v>
      </c>
      <c r="L347" s="110">
        <f t="shared" si="17"/>
        <v>16.66</v>
      </c>
      <c r="M347" s="111"/>
      <c r="N347" s="111"/>
    </row>
    <row r="348" spans="2:14" ht="15.75">
      <c r="B348" s="106">
        <v>339</v>
      </c>
      <c r="C348" s="107">
        <v>21</v>
      </c>
      <c r="D348" s="108"/>
      <c r="E348" s="25"/>
      <c r="F348" s="25"/>
      <c r="G348" s="112" t="s">
        <v>464</v>
      </c>
      <c r="H348" s="112">
        <v>305.56</v>
      </c>
      <c r="I348" s="112">
        <v>1</v>
      </c>
      <c r="J348" s="110">
        <v>1</v>
      </c>
      <c r="K348" s="112">
        <v>1</v>
      </c>
      <c r="L348" s="110">
        <f t="shared" si="17"/>
        <v>305.56</v>
      </c>
      <c r="M348" s="111"/>
      <c r="N348" s="111"/>
    </row>
    <row r="349" spans="2:14" ht="15.75">
      <c r="B349" s="106">
        <v>340</v>
      </c>
      <c r="C349" s="107">
        <v>21</v>
      </c>
      <c r="D349" s="108"/>
      <c r="E349" s="25"/>
      <c r="F349" s="25"/>
      <c r="G349" s="112" t="s">
        <v>465</v>
      </c>
      <c r="H349" s="112">
        <v>166.67</v>
      </c>
      <c r="I349" s="112">
        <v>1</v>
      </c>
      <c r="J349" s="110">
        <v>1</v>
      </c>
      <c r="K349" s="112">
        <v>1</v>
      </c>
      <c r="L349" s="110">
        <f>H349*I349*J349*K349</f>
        <v>166.67</v>
      </c>
      <c r="M349" s="111"/>
      <c r="N349" s="111"/>
    </row>
    <row r="350" spans="2:14" ht="15.75">
      <c r="B350" s="106">
        <v>341</v>
      </c>
      <c r="C350" s="107">
        <v>21</v>
      </c>
      <c r="D350" s="108"/>
      <c r="E350" s="25"/>
      <c r="F350" s="25"/>
      <c r="G350" s="112" t="s">
        <v>447</v>
      </c>
      <c r="H350" s="112">
        <v>1.19</v>
      </c>
      <c r="I350" s="112">
        <v>10</v>
      </c>
      <c r="J350" s="110">
        <v>1</v>
      </c>
      <c r="K350" s="112">
        <v>5</v>
      </c>
      <c r="L350" s="110">
        <f t="shared" si="17"/>
        <v>59.499999999999993</v>
      </c>
      <c r="M350" s="111"/>
      <c r="N350" s="111"/>
    </row>
    <row r="351" spans="2:14" ht="15.75">
      <c r="B351" s="106">
        <v>342</v>
      </c>
      <c r="C351" s="107">
        <v>21</v>
      </c>
      <c r="D351" s="108"/>
      <c r="E351" s="25"/>
      <c r="F351" s="25"/>
      <c r="G351" s="112" t="s">
        <v>459</v>
      </c>
      <c r="H351" s="112">
        <v>16.670000000000002</v>
      </c>
      <c r="I351" s="112">
        <v>1</v>
      </c>
      <c r="J351" s="110">
        <v>1</v>
      </c>
      <c r="K351" s="112">
        <v>1</v>
      </c>
      <c r="L351" s="110">
        <f>H351*I351*J351*K351</f>
        <v>16.670000000000002</v>
      </c>
      <c r="M351" s="111"/>
      <c r="N351" s="111"/>
    </row>
    <row r="352" spans="2:14" s="138" customFormat="1" ht="127.5">
      <c r="B352" s="126">
        <v>327</v>
      </c>
      <c r="C352" s="127">
        <v>21</v>
      </c>
      <c r="D352" s="135" t="s">
        <v>226</v>
      </c>
      <c r="E352" s="129" t="s">
        <v>225</v>
      </c>
      <c r="F352" s="136"/>
      <c r="G352" s="131"/>
      <c r="H352" s="137" t="s">
        <v>671</v>
      </c>
      <c r="I352" s="131"/>
      <c r="J352" s="131"/>
      <c r="K352" s="131"/>
      <c r="L352" s="139">
        <f>SUM(L353:L354)</f>
        <v>185</v>
      </c>
      <c r="M352" s="133">
        <v>4103.0600000000004</v>
      </c>
      <c r="N352" s="134">
        <v>4103.0600000000004</v>
      </c>
    </row>
    <row r="353" spans="2:14" ht="15.75">
      <c r="B353" s="106">
        <v>328</v>
      </c>
      <c r="C353" s="107">
        <v>21</v>
      </c>
      <c r="D353" s="108"/>
      <c r="E353" s="25"/>
      <c r="F353" s="25"/>
      <c r="G353" s="112" t="s">
        <v>864</v>
      </c>
      <c r="H353" s="112">
        <v>185</v>
      </c>
      <c r="I353" s="110">
        <v>1</v>
      </c>
      <c r="J353" s="110">
        <v>1</v>
      </c>
      <c r="K353" s="112">
        <v>1</v>
      </c>
      <c r="L353" s="110">
        <f>H353*I353*J353*K353</f>
        <v>185</v>
      </c>
      <c r="M353" s="111"/>
      <c r="N353" s="111"/>
    </row>
    <row r="354" spans="2:14" ht="15.75">
      <c r="B354" s="106">
        <v>329</v>
      </c>
      <c r="C354" s="107">
        <v>21</v>
      </c>
      <c r="D354" s="108"/>
      <c r="E354" s="25"/>
      <c r="F354" s="25"/>
      <c r="G354" s="112"/>
      <c r="H354" s="112"/>
      <c r="I354" s="110"/>
      <c r="J354" s="110"/>
      <c r="K354" s="112"/>
      <c r="L354" s="110">
        <f t="shared" ref="L354" si="18">H354*I354*J354*K354</f>
        <v>0</v>
      </c>
      <c r="M354" s="111"/>
      <c r="N354" s="111"/>
    </row>
    <row r="355" spans="2:14" s="138" customFormat="1" ht="51">
      <c r="B355" s="126">
        <v>343</v>
      </c>
      <c r="C355" s="127">
        <v>23</v>
      </c>
      <c r="D355" s="135" t="s">
        <v>2</v>
      </c>
      <c r="E355" s="129" t="s">
        <v>224</v>
      </c>
      <c r="F355" s="136" t="s">
        <v>703</v>
      </c>
      <c r="G355" s="131" t="s">
        <v>500</v>
      </c>
      <c r="H355" s="137" t="s">
        <v>671</v>
      </c>
      <c r="I355" s="131"/>
      <c r="J355" s="131"/>
      <c r="K355" s="131"/>
      <c r="L355" s="139">
        <f>SUM(L356:L359)</f>
        <v>366.67</v>
      </c>
      <c r="M355" s="133">
        <v>1833.33</v>
      </c>
      <c r="N355" s="134">
        <v>1100.01</v>
      </c>
    </row>
    <row r="356" spans="2:14" ht="15.75">
      <c r="B356" s="106">
        <v>344</v>
      </c>
      <c r="C356" s="107">
        <v>23</v>
      </c>
      <c r="D356" s="108"/>
      <c r="E356" s="25"/>
      <c r="F356" s="25"/>
      <c r="G356" s="112" t="s">
        <v>429</v>
      </c>
      <c r="H356" s="112">
        <v>4</v>
      </c>
      <c r="I356" s="110">
        <v>20</v>
      </c>
      <c r="J356" s="110">
        <v>1</v>
      </c>
      <c r="K356" s="110">
        <v>1</v>
      </c>
      <c r="L356" s="110">
        <f>H356*I356*J356*K356</f>
        <v>80</v>
      </c>
      <c r="M356" s="111"/>
      <c r="N356" s="111"/>
    </row>
    <row r="357" spans="2:14" ht="15.75">
      <c r="B357" s="106">
        <v>345</v>
      </c>
      <c r="C357" s="107">
        <v>23</v>
      </c>
      <c r="D357" s="108"/>
      <c r="E357" s="25"/>
      <c r="F357" s="25"/>
      <c r="G357" s="112" t="s">
        <v>501</v>
      </c>
      <c r="H357" s="112">
        <v>10</v>
      </c>
      <c r="I357" s="110">
        <v>20</v>
      </c>
      <c r="J357" s="110">
        <v>1</v>
      </c>
      <c r="K357" s="110">
        <v>1</v>
      </c>
      <c r="L357" s="110">
        <f t="shared" ref="L357:L359" si="19">H357*I357*J357*K357</f>
        <v>200</v>
      </c>
      <c r="M357" s="111"/>
      <c r="N357" s="111"/>
    </row>
    <row r="358" spans="2:14" ht="15.75">
      <c r="B358" s="106">
        <v>346</v>
      </c>
      <c r="C358" s="107">
        <v>23</v>
      </c>
      <c r="D358" s="108"/>
      <c r="E358" s="25"/>
      <c r="F358" s="25"/>
      <c r="G358" s="112" t="s">
        <v>459</v>
      </c>
      <c r="H358" s="112">
        <v>16.670000000000002</v>
      </c>
      <c r="I358" s="110">
        <v>1</v>
      </c>
      <c r="J358" s="110">
        <v>1</v>
      </c>
      <c r="K358" s="110">
        <v>1</v>
      </c>
      <c r="L358" s="110">
        <f>H358*I358*J358*K358</f>
        <v>16.670000000000002</v>
      </c>
      <c r="M358" s="111"/>
      <c r="N358" s="111"/>
    </row>
    <row r="359" spans="2:14" ht="15.75">
      <c r="B359" s="106">
        <v>347</v>
      </c>
      <c r="C359" s="107">
        <v>23</v>
      </c>
      <c r="D359" s="108"/>
      <c r="E359" s="25"/>
      <c r="F359" s="25"/>
      <c r="G359" s="112" t="s">
        <v>502</v>
      </c>
      <c r="H359" s="112">
        <v>70</v>
      </c>
      <c r="I359" s="110">
        <v>1</v>
      </c>
      <c r="J359" s="110">
        <v>1</v>
      </c>
      <c r="K359" s="110">
        <v>1</v>
      </c>
      <c r="L359" s="110">
        <f t="shared" si="19"/>
        <v>70</v>
      </c>
      <c r="M359" s="111"/>
      <c r="N359" s="111"/>
    </row>
    <row r="360" spans="2:14" s="138" customFormat="1" ht="38.25">
      <c r="B360" s="126">
        <v>348</v>
      </c>
      <c r="C360" s="127">
        <v>24</v>
      </c>
      <c r="D360" s="135" t="s">
        <v>223</v>
      </c>
      <c r="E360" s="129" t="s">
        <v>222</v>
      </c>
      <c r="F360" s="136" t="s">
        <v>704</v>
      </c>
      <c r="G360" s="131" t="s">
        <v>222</v>
      </c>
      <c r="H360" s="137" t="s">
        <v>671</v>
      </c>
      <c r="I360" s="131"/>
      <c r="J360" s="131"/>
      <c r="K360" s="131"/>
      <c r="L360" s="139">
        <f>SUM(L361:L367)</f>
        <v>1450</v>
      </c>
      <c r="M360" s="133">
        <v>6176</v>
      </c>
      <c r="N360" s="134">
        <v>18528</v>
      </c>
    </row>
    <row r="361" spans="2:14" ht="15.75">
      <c r="B361" s="106">
        <v>349</v>
      </c>
      <c r="C361" s="107">
        <v>24</v>
      </c>
      <c r="D361" s="108"/>
      <c r="E361" s="25"/>
      <c r="F361" s="25"/>
      <c r="G361" s="112" t="s">
        <v>429</v>
      </c>
      <c r="H361" s="112">
        <v>4</v>
      </c>
      <c r="I361" s="110">
        <v>50</v>
      </c>
      <c r="J361" s="110">
        <v>4</v>
      </c>
      <c r="K361" s="110">
        <v>1</v>
      </c>
      <c r="L361" s="110">
        <f>H361*I361*J361*K361</f>
        <v>800</v>
      </c>
      <c r="M361" s="111"/>
      <c r="N361" s="111"/>
    </row>
    <row r="362" spans="2:14" ht="15.75">
      <c r="B362" s="106">
        <v>350</v>
      </c>
      <c r="C362" s="107">
        <v>24</v>
      </c>
      <c r="D362" s="108"/>
      <c r="E362" s="25"/>
      <c r="F362" s="25"/>
      <c r="G362" s="112" t="s">
        <v>503</v>
      </c>
      <c r="H362" s="112">
        <v>50</v>
      </c>
      <c r="I362" s="110">
        <v>50</v>
      </c>
      <c r="J362" s="110">
        <v>4</v>
      </c>
      <c r="K362" s="110">
        <v>1</v>
      </c>
      <c r="L362" s="110">
        <f>H362+I362+J362+K362</f>
        <v>105</v>
      </c>
      <c r="M362" s="111"/>
      <c r="N362" s="111"/>
    </row>
    <row r="363" spans="2:14" ht="15.75">
      <c r="B363" s="106">
        <v>351</v>
      </c>
      <c r="C363" s="107">
        <v>24</v>
      </c>
      <c r="D363" s="108"/>
      <c r="E363" s="25"/>
      <c r="F363" s="25"/>
      <c r="G363" s="112" t="s">
        <v>501</v>
      </c>
      <c r="H363" s="112">
        <v>10</v>
      </c>
      <c r="I363" s="110">
        <v>50</v>
      </c>
      <c r="J363" s="110">
        <v>4</v>
      </c>
      <c r="K363" s="110">
        <v>1</v>
      </c>
      <c r="L363" s="110">
        <f>H363+I363+J363+K363</f>
        <v>65</v>
      </c>
      <c r="M363" s="111"/>
      <c r="N363" s="111"/>
    </row>
    <row r="364" spans="2:14" ht="15.75">
      <c r="B364" s="106">
        <v>352</v>
      </c>
      <c r="C364" s="107">
        <v>24</v>
      </c>
      <c r="D364" s="108"/>
      <c r="E364" s="25"/>
      <c r="F364" s="25"/>
      <c r="G364" s="112" t="s">
        <v>504</v>
      </c>
      <c r="H364" s="112">
        <v>210</v>
      </c>
      <c r="I364" s="110">
        <v>1</v>
      </c>
      <c r="J364" s="110">
        <v>4</v>
      </c>
      <c r="K364" s="110">
        <v>1</v>
      </c>
      <c r="L364" s="110">
        <f t="shared" ref="L364:L366" si="20">H364+I364+J364+K364</f>
        <v>216</v>
      </c>
      <c r="M364" s="111"/>
      <c r="N364" s="111"/>
    </row>
    <row r="365" spans="2:14" ht="15.75">
      <c r="B365" s="106">
        <v>353</v>
      </c>
      <c r="C365" s="107">
        <v>24</v>
      </c>
      <c r="D365" s="108"/>
      <c r="E365" s="25"/>
      <c r="F365" s="25"/>
      <c r="G365" s="112" t="s">
        <v>449</v>
      </c>
      <c r="H365" s="112">
        <v>135</v>
      </c>
      <c r="I365" s="110">
        <v>1</v>
      </c>
      <c r="J365" s="110">
        <v>4</v>
      </c>
      <c r="K365" s="110">
        <v>3</v>
      </c>
      <c r="L365" s="110">
        <f t="shared" si="20"/>
        <v>143</v>
      </c>
      <c r="M365" s="111"/>
      <c r="N365" s="111"/>
    </row>
    <row r="366" spans="2:14" ht="15.75">
      <c r="B366" s="106">
        <v>354</v>
      </c>
      <c r="C366" s="107">
        <v>24</v>
      </c>
      <c r="D366" s="108"/>
      <c r="E366" s="25"/>
      <c r="F366" s="25"/>
      <c r="G366" s="112" t="s">
        <v>450</v>
      </c>
      <c r="H366" s="112">
        <v>38</v>
      </c>
      <c r="I366" s="110">
        <v>1</v>
      </c>
      <c r="J366" s="110">
        <v>4</v>
      </c>
      <c r="K366" s="110">
        <v>2</v>
      </c>
      <c r="L366" s="110">
        <f t="shared" si="20"/>
        <v>45</v>
      </c>
      <c r="M366" s="111"/>
      <c r="N366" s="111"/>
    </row>
    <row r="367" spans="2:14" ht="15.75">
      <c r="B367" s="106">
        <v>355</v>
      </c>
      <c r="C367" s="107">
        <v>24</v>
      </c>
      <c r="D367" s="108"/>
      <c r="E367" s="25"/>
      <c r="F367" s="25"/>
      <c r="G367" s="112" t="s">
        <v>502</v>
      </c>
      <c r="H367" s="112">
        <v>70</v>
      </c>
      <c r="I367" s="110">
        <v>1</v>
      </c>
      <c r="J367" s="110">
        <v>4</v>
      </c>
      <c r="K367" s="110">
        <v>1</v>
      </c>
      <c r="L367" s="110">
        <f>H367+I367+J367+K367</f>
        <v>76</v>
      </c>
      <c r="M367" s="111"/>
      <c r="N367" s="111"/>
    </row>
    <row r="368" spans="2:14" s="138" customFormat="1" ht="38.25">
      <c r="B368" s="126">
        <v>356</v>
      </c>
      <c r="C368" s="127">
        <v>25</v>
      </c>
      <c r="D368" s="135" t="s">
        <v>221</v>
      </c>
      <c r="E368" s="136" t="s">
        <v>705</v>
      </c>
      <c r="F368" s="136" t="s">
        <v>706</v>
      </c>
      <c r="G368" s="131" t="s">
        <v>505</v>
      </c>
      <c r="H368" s="137" t="s">
        <v>671</v>
      </c>
      <c r="I368" s="131"/>
      <c r="J368" s="131"/>
      <c r="K368" s="131"/>
      <c r="L368" s="139">
        <f>SUM(L369:L394)</f>
        <v>5904.7700000000013</v>
      </c>
      <c r="M368" s="133">
        <v>29523.86</v>
      </c>
      <c r="N368" s="134">
        <v>17714.310000000001</v>
      </c>
    </row>
    <row r="369" spans="2:14" ht="15.75">
      <c r="B369" s="106">
        <v>357</v>
      </c>
      <c r="C369" s="107">
        <v>25</v>
      </c>
      <c r="D369" s="108"/>
      <c r="E369" s="25"/>
      <c r="F369" s="25"/>
      <c r="G369" s="114" t="s">
        <v>506</v>
      </c>
      <c r="H369" s="112">
        <v>13.89</v>
      </c>
      <c r="I369" s="110">
        <v>1</v>
      </c>
      <c r="J369" s="110">
        <v>4</v>
      </c>
      <c r="K369" s="110">
        <v>1</v>
      </c>
      <c r="L369" s="110">
        <f>H369*I369*J369*K369</f>
        <v>55.56</v>
      </c>
      <c r="M369" s="111"/>
      <c r="N369" s="111"/>
    </row>
    <row r="370" spans="2:14" ht="15.75">
      <c r="B370" s="106">
        <v>358</v>
      </c>
      <c r="C370" s="107">
        <v>25</v>
      </c>
      <c r="D370" s="108"/>
      <c r="E370" s="25"/>
      <c r="F370" s="25"/>
      <c r="G370" s="114" t="s">
        <v>507</v>
      </c>
      <c r="H370" s="112">
        <v>7.92</v>
      </c>
      <c r="I370" s="110">
        <v>5</v>
      </c>
      <c r="J370" s="110">
        <v>4</v>
      </c>
      <c r="K370" s="110">
        <v>1</v>
      </c>
      <c r="L370" s="110">
        <f t="shared" ref="L370:L394" si="21">H370*I370*J370*K370</f>
        <v>158.4</v>
      </c>
      <c r="M370" s="141"/>
      <c r="N370" s="111"/>
    </row>
    <row r="371" spans="2:14" ht="15.75">
      <c r="B371" s="106">
        <v>359</v>
      </c>
      <c r="C371" s="107">
        <v>25</v>
      </c>
      <c r="D371" s="108"/>
      <c r="E371" s="25"/>
      <c r="F371" s="25"/>
      <c r="G371" s="114" t="s">
        <v>508</v>
      </c>
      <c r="H371" s="112">
        <v>5.87</v>
      </c>
      <c r="I371" s="110">
        <v>12</v>
      </c>
      <c r="J371" s="110">
        <v>4</v>
      </c>
      <c r="K371" s="110">
        <v>1</v>
      </c>
      <c r="L371" s="110">
        <f t="shared" si="21"/>
        <v>281.76</v>
      </c>
      <c r="M371" s="141"/>
      <c r="N371" s="111"/>
    </row>
    <row r="372" spans="2:14" ht="15.75">
      <c r="B372" s="106">
        <v>360</v>
      </c>
      <c r="C372" s="107">
        <v>25</v>
      </c>
      <c r="D372" s="108"/>
      <c r="E372" s="25"/>
      <c r="F372" s="25"/>
      <c r="G372" s="114" t="s">
        <v>509</v>
      </c>
      <c r="H372" s="112">
        <v>23.48</v>
      </c>
      <c r="I372" s="110">
        <v>12</v>
      </c>
      <c r="J372" s="110">
        <v>2</v>
      </c>
      <c r="K372" s="110">
        <v>1</v>
      </c>
      <c r="L372" s="110">
        <f t="shared" si="21"/>
        <v>563.52</v>
      </c>
      <c r="M372" s="111"/>
      <c r="N372" s="111"/>
    </row>
    <row r="373" spans="2:14" ht="15.75">
      <c r="B373" s="106">
        <v>361</v>
      </c>
      <c r="C373" s="107">
        <v>25</v>
      </c>
      <c r="D373" s="108"/>
      <c r="E373" s="25"/>
      <c r="F373" s="25"/>
      <c r="G373" s="114" t="s">
        <v>510</v>
      </c>
      <c r="H373" s="112">
        <v>0.59</v>
      </c>
      <c r="I373" s="110">
        <v>12</v>
      </c>
      <c r="J373" s="110">
        <v>4</v>
      </c>
      <c r="K373" s="110">
        <v>1</v>
      </c>
      <c r="L373" s="110">
        <f t="shared" si="21"/>
        <v>28.32</v>
      </c>
      <c r="M373" s="111"/>
      <c r="N373" s="111"/>
    </row>
    <row r="374" spans="2:14" ht="15.75">
      <c r="B374" s="106">
        <v>362</v>
      </c>
      <c r="C374" s="107">
        <v>25</v>
      </c>
      <c r="D374" s="108"/>
      <c r="E374" s="25"/>
      <c r="F374" s="25"/>
      <c r="G374" s="114" t="s">
        <v>476</v>
      </c>
      <c r="H374" s="112">
        <v>0.88</v>
      </c>
      <c r="I374" s="110">
        <v>12</v>
      </c>
      <c r="J374" s="110">
        <v>4</v>
      </c>
      <c r="K374" s="110">
        <v>1</v>
      </c>
      <c r="L374" s="110">
        <f t="shared" si="21"/>
        <v>42.24</v>
      </c>
      <c r="M374" s="111"/>
      <c r="N374" s="111"/>
    </row>
    <row r="375" spans="2:14" ht="15.75">
      <c r="B375" s="106">
        <v>363</v>
      </c>
      <c r="C375" s="107">
        <v>25</v>
      </c>
      <c r="D375" s="108"/>
      <c r="E375" s="25"/>
      <c r="F375" s="25"/>
      <c r="G375" s="114" t="s">
        <v>477</v>
      </c>
      <c r="H375" s="112">
        <v>176.08</v>
      </c>
      <c r="I375" s="110">
        <v>1</v>
      </c>
      <c r="J375" s="110">
        <v>4</v>
      </c>
      <c r="K375" s="110">
        <v>1</v>
      </c>
      <c r="L375" s="110">
        <f t="shared" si="21"/>
        <v>704.32</v>
      </c>
      <c r="M375" s="111"/>
      <c r="N375" s="111"/>
    </row>
    <row r="376" spans="2:14" ht="15.75">
      <c r="B376" s="106">
        <v>364</v>
      </c>
      <c r="C376" s="107">
        <v>25</v>
      </c>
      <c r="D376" s="108"/>
      <c r="E376" s="25"/>
      <c r="F376" s="25"/>
      <c r="G376" s="114" t="s">
        <v>464</v>
      </c>
      <c r="H376" s="112">
        <v>352.15</v>
      </c>
      <c r="I376" s="110">
        <v>1</v>
      </c>
      <c r="J376" s="110">
        <v>4</v>
      </c>
      <c r="K376" s="110">
        <v>1</v>
      </c>
      <c r="L376" s="110">
        <f t="shared" si="21"/>
        <v>1408.6</v>
      </c>
      <c r="M376" s="111"/>
      <c r="N376" s="111"/>
    </row>
    <row r="377" spans="2:14" ht="15.75">
      <c r="B377" s="106">
        <v>365</v>
      </c>
      <c r="C377" s="107">
        <v>25</v>
      </c>
      <c r="D377" s="108"/>
      <c r="E377" s="25"/>
      <c r="F377" s="25"/>
      <c r="G377" s="114" t="s">
        <v>511</v>
      </c>
      <c r="H377" s="112">
        <v>20</v>
      </c>
      <c r="I377" s="110">
        <v>9</v>
      </c>
      <c r="J377" s="110">
        <v>1</v>
      </c>
      <c r="K377" s="110">
        <v>1</v>
      </c>
      <c r="L377" s="110">
        <f t="shared" si="21"/>
        <v>180</v>
      </c>
      <c r="M377" s="111"/>
      <c r="N377" s="111"/>
    </row>
    <row r="378" spans="2:14" ht="15.75">
      <c r="B378" s="106">
        <v>366</v>
      </c>
      <c r="C378" s="107">
        <v>25</v>
      </c>
      <c r="D378" s="108"/>
      <c r="E378" s="25"/>
      <c r="F378" s="25"/>
      <c r="G378" s="114" t="s">
        <v>512</v>
      </c>
      <c r="H378" s="112">
        <v>0.56000000000000005</v>
      </c>
      <c r="I378" s="110">
        <v>50</v>
      </c>
      <c r="J378" s="110">
        <v>4</v>
      </c>
      <c r="K378" s="110">
        <v>1</v>
      </c>
      <c r="L378" s="110">
        <f t="shared" si="21"/>
        <v>112.00000000000001</v>
      </c>
      <c r="M378" s="111"/>
      <c r="N378" s="111"/>
    </row>
    <row r="379" spans="2:14" ht="15.75">
      <c r="B379" s="106">
        <v>367</v>
      </c>
      <c r="C379" s="107">
        <v>25</v>
      </c>
      <c r="D379" s="108"/>
      <c r="E379" s="25"/>
      <c r="F379" s="25"/>
      <c r="G379" s="114" t="s">
        <v>513</v>
      </c>
      <c r="H379" s="112">
        <f>444.44-1.31</f>
        <v>443.13</v>
      </c>
      <c r="I379" s="110">
        <v>1</v>
      </c>
      <c r="J379" s="110">
        <v>1</v>
      </c>
      <c r="K379" s="110">
        <v>1</v>
      </c>
      <c r="L379" s="110">
        <f t="shared" si="21"/>
        <v>443.13</v>
      </c>
      <c r="M379" s="111"/>
      <c r="N379" s="111"/>
    </row>
    <row r="380" spans="2:14" ht="15.75">
      <c r="B380" s="106">
        <v>368</v>
      </c>
      <c r="C380" s="107">
        <v>25</v>
      </c>
      <c r="D380" s="108"/>
      <c r="E380" s="25"/>
      <c r="F380" s="25"/>
      <c r="G380" s="114" t="s">
        <v>514</v>
      </c>
      <c r="H380" s="112">
        <v>100</v>
      </c>
      <c r="I380" s="110">
        <v>4</v>
      </c>
      <c r="J380" s="110">
        <v>1</v>
      </c>
      <c r="K380" s="110">
        <v>1</v>
      </c>
      <c r="L380" s="110">
        <f t="shared" si="21"/>
        <v>400</v>
      </c>
      <c r="M380" s="111"/>
      <c r="N380" s="111"/>
    </row>
    <row r="381" spans="2:14" ht="15.75">
      <c r="B381" s="106">
        <v>369</v>
      </c>
      <c r="C381" s="107">
        <v>25</v>
      </c>
      <c r="D381" s="108"/>
      <c r="E381" s="25"/>
      <c r="F381" s="25"/>
      <c r="G381" s="114" t="s">
        <v>515</v>
      </c>
      <c r="H381" s="112">
        <v>0.56000000000000005</v>
      </c>
      <c r="I381" s="110">
        <v>20</v>
      </c>
      <c r="J381" s="110">
        <v>4</v>
      </c>
      <c r="K381" s="110">
        <v>1</v>
      </c>
      <c r="L381" s="110">
        <f t="shared" si="21"/>
        <v>44.800000000000004</v>
      </c>
      <c r="M381" s="111"/>
      <c r="N381" s="111"/>
    </row>
    <row r="382" spans="2:14" ht="15.75">
      <c r="B382" s="106">
        <v>370</v>
      </c>
      <c r="C382" s="107">
        <v>25</v>
      </c>
      <c r="D382" s="108"/>
      <c r="E382" s="25"/>
      <c r="F382" s="25"/>
      <c r="G382" s="114" t="s">
        <v>516</v>
      </c>
      <c r="H382" s="112">
        <v>1.94</v>
      </c>
      <c r="I382" s="110">
        <v>20</v>
      </c>
      <c r="J382" s="110">
        <v>4</v>
      </c>
      <c r="K382" s="110">
        <v>1</v>
      </c>
      <c r="L382" s="110">
        <f t="shared" si="21"/>
        <v>155.19999999999999</v>
      </c>
      <c r="M382" s="111"/>
      <c r="N382" s="111"/>
    </row>
    <row r="383" spans="2:14" ht="15.75">
      <c r="B383" s="106">
        <v>371</v>
      </c>
      <c r="C383" s="107">
        <v>25</v>
      </c>
      <c r="D383" s="108"/>
      <c r="E383" s="25"/>
      <c r="F383" s="25"/>
      <c r="G383" s="114" t="s">
        <v>517</v>
      </c>
      <c r="H383" s="112">
        <v>3.33</v>
      </c>
      <c r="I383" s="110">
        <v>12</v>
      </c>
      <c r="J383" s="110">
        <v>4</v>
      </c>
      <c r="K383" s="110">
        <v>1</v>
      </c>
      <c r="L383" s="110">
        <f t="shared" si="21"/>
        <v>159.84</v>
      </c>
      <c r="M383" s="111"/>
      <c r="N383" s="111"/>
    </row>
    <row r="384" spans="2:14" ht="15.75">
      <c r="B384" s="106">
        <v>372</v>
      </c>
      <c r="C384" s="107">
        <v>25</v>
      </c>
      <c r="D384" s="108"/>
      <c r="E384" s="25"/>
      <c r="F384" s="25"/>
      <c r="G384" s="114" t="s">
        <v>518</v>
      </c>
      <c r="H384" s="112">
        <v>0.39</v>
      </c>
      <c r="I384" s="110">
        <v>20</v>
      </c>
      <c r="J384" s="110">
        <v>4</v>
      </c>
      <c r="K384" s="110">
        <v>1</v>
      </c>
      <c r="L384" s="110">
        <f t="shared" si="21"/>
        <v>31.200000000000003</v>
      </c>
      <c r="M384" s="111"/>
      <c r="N384" s="111"/>
    </row>
    <row r="385" spans="2:15" ht="15.75">
      <c r="B385" s="106">
        <v>373</v>
      </c>
      <c r="C385" s="107">
        <v>25</v>
      </c>
      <c r="D385" s="108"/>
      <c r="E385" s="25"/>
      <c r="F385" s="25"/>
      <c r="G385" s="114" t="s">
        <v>519</v>
      </c>
      <c r="H385" s="112">
        <v>1.94</v>
      </c>
      <c r="I385" s="110">
        <v>20</v>
      </c>
      <c r="J385" s="110">
        <v>4</v>
      </c>
      <c r="K385" s="110">
        <v>1</v>
      </c>
      <c r="L385" s="110">
        <f t="shared" si="21"/>
        <v>155.19999999999999</v>
      </c>
      <c r="M385" s="111"/>
      <c r="N385" s="111"/>
    </row>
    <row r="386" spans="2:15" ht="15.75">
      <c r="B386" s="106">
        <v>374</v>
      </c>
      <c r="C386" s="107">
        <v>25</v>
      </c>
      <c r="D386" s="108"/>
      <c r="E386" s="25"/>
      <c r="F386" s="25"/>
      <c r="G386" s="114" t="s">
        <v>520</v>
      </c>
      <c r="H386" s="112">
        <v>200</v>
      </c>
      <c r="I386" s="110">
        <v>1</v>
      </c>
      <c r="J386" s="110">
        <v>1</v>
      </c>
      <c r="K386" s="110">
        <v>1</v>
      </c>
      <c r="L386" s="110">
        <f t="shared" si="21"/>
        <v>200</v>
      </c>
      <c r="M386" s="111"/>
      <c r="N386" s="111"/>
    </row>
    <row r="387" spans="2:15" ht="15.75">
      <c r="B387" s="106">
        <v>375</v>
      </c>
      <c r="C387" s="107">
        <v>25</v>
      </c>
      <c r="D387" s="108"/>
      <c r="E387" s="25"/>
      <c r="F387" s="25"/>
      <c r="G387" s="114" t="s">
        <v>521</v>
      </c>
      <c r="H387" s="112">
        <v>1.1100000000000001</v>
      </c>
      <c r="I387" s="110">
        <v>20</v>
      </c>
      <c r="J387" s="110">
        <v>4</v>
      </c>
      <c r="K387" s="110">
        <v>1</v>
      </c>
      <c r="L387" s="110">
        <f t="shared" si="21"/>
        <v>88.800000000000011</v>
      </c>
      <c r="M387" s="111"/>
      <c r="N387" s="111"/>
    </row>
    <row r="388" spans="2:15" ht="15.75">
      <c r="B388" s="106">
        <v>376</v>
      </c>
      <c r="C388" s="107">
        <v>25</v>
      </c>
      <c r="D388" s="108"/>
      <c r="E388" s="25"/>
      <c r="F388" s="25"/>
      <c r="G388" s="114" t="s">
        <v>522</v>
      </c>
      <c r="H388" s="112">
        <v>2.78</v>
      </c>
      <c r="I388" s="110">
        <v>10</v>
      </c>
      <c r="J388" s="110">
        <v>4</v>
      </c>
      <c r="K388" s="110">
        <v>1</v>
      </c>
      <c r="L388" s="110">
        <f t="shared" si="21"/>
        <v>111.19999999999999</v>
      </c>
      <c r="M388" s="111"/>
      <c r="N388" s="111"/>
    </row>
    <row r="389" spans="2:15" ht="15.75">
      <c r="B389" s="106">
        <v>377</v>
      </c>
      <c r="C389" s="107">
        <v>25</v>
      </c>
      <c r="D389" s="108"/>
      <c r="E389" s="25"/>
      <c r="F389" s="25"/>
      <c r="G389" s="114" t="s">
        <v>523</v>
      </c>
      <c r="H389" s="112">
        <v>3.89</v>
      </c>
      <c r="I389" s="110">
        <v>12</v>
      </c>
      <c r="J389" s="110">
        <v>4</v>
      </c>
      <c r="K389" s="110">
        <v>1</v>
      </c>
      <c r="L389" s="110">
        <f t="shared" si="21"/>
        <v>186.72</v>
      </c>
      <c r="M389" s="111"/>
      <c r="N389" s="111"/>
    </row>
    <row r="390" spans="2:15" ht="15.75">
      <c r="B390" s="106">
        <v>378</v>
      </c>
      <c r="C390" s="107">
        <v>25</v>
      </c>
      <c r="D390" s="108"/>
      <c r="E390" s="25"/>
      <c r="F390" s="25"/>
      <c r="G390" s="114" t="s">
        <v>524</v>
      </c>
      <c r="H390" s="112">
        <v>1.94</v>
      </c>
      <c r="I390" s="110">
        <v>2</v>
      </c>
      <c r="J390" s="110">
        <v>4</v>
      </c>
      <c r="K390" s="110">
        <v>1</v>
      </c>
      <c r="L390" s="110">
        <f t="shared" si="21"/>
        <v>15.52</v>
      </c>
      <c r="M390" s="111"/>
      <c r="N390" s="111"/>
    </row>
    <row r="391" spans="2:15" ht="15.75">
      <c r="B391" s="106">
        <v>379</v>
      </c>
      <c r="C391" s="107">
        <v>25</v>
      </c>
      <c r="D391" s="108"/>
      <c r="E391" s="25"/>
      <c r="F391" s="25"/>
      <c r="G391" s="114" t="s">
        <v>525</v>
      </c>
      <c r="H391" s="112">
        <v>0.56000000000000005</v>
      </c>
      <c r="I391" s="110">
        <v>20</v>
      </c>
      <c r="J391" s="110">
        <v>4</v>
      </c>
      <c r="K391" s="110">
        <v>1</v>
      </c>
      <c r="L391" s="110">
        <f t="shared" si="21"/>
        <v>44.800000000000004</v>
      </c>
      <c r="M391" s="111"/>
      <c r="N391" s="111"/>
    </row>
    <row r="392" spans="2:15" ht="15.75">
      <c r="B392" s="106">
        <v>380</v>
      </c>
      <c r="C392" s="107">
        <v>25</v>
      </c>
      <c r="D392" s="108"/>
      <c r="E392" s="25"/>
      <c r="F392" s="25"/>
      <c r="G392" s="114" t="s">
        <v>526</v>
      </c>
      <c r="H392" s="112">
        <v>0.56000000000000005</v>
      </c>
      <c r="I392" s="110">
        <v>20</v>
      </c>
      <c r="J392" s="110">
        <v>4</v>
      </c>
      <c r="K392" s="110">
        <v>1</v>
      </c>
      <c r="L392" s="110">
        <f t="shared" si="21"/>
        <v>44.800000000000004</v>
      </c>
      <c r="M392" s="111"/>
      <c r="N392" s="111"/>
    </row>
    <row r="393" spans="2:15" ht="15.75">
      <c r="B393" s="106">
        <v>381</v>
      </c>
      <c r="C393" s="107">
        <v>25</v>
      </c>
      <c r="D393" s="108"/>
      <c r="E393" s="25"/>
      <c r="F393" s="25"/>
      <c r="G393" s="114" t="s">
        <v>527</v>
      </c>
      <c r="H393" s="112">
        <v>1.1100000000000001</v>
      </c>
      <c r="I393" s="110">
        <v>20</v>
      </c>
      <c r="J393" s="110">
        <v>4</v>
      </c>
      <c r="K393" s="110">
        <v>1</v>
      </c>
      <c r="L393" s="110">
        <f t="shared" si="21"/>
        <v>88.800000000000011</v>
      </c>
      <c r="M393" s="111"/>
      <c r="N393" s="111"/>
    </row>
    <row r="394" spans="2:15" ht="15.75">
      <c r="B394" s="106">
        <v>382</v>
      </c>
      <c r="C394" s="107">
        <v>25</v>
      </c>
      <c r="D394" s="108"/>
      <c r="E394" s="25"/>
      <c r="F394" s="25"/>
      <c r="G394" s="114" t="s">
        <v>528</v>
      </c>
      <c r="H394" s="112">
        <v>16.670000000000002</v>
      </c>
      <c r="I394" s="110">
        <v>3</v>
      </c>
      <c r="J394" s="110">
        <v>4</v>
      </c>
      <c r="K394" s="110">
        <v>1</v>
      </c>
      <c r="L394" s="110">
        <f t="shared" si="21"/>
        <v>200.04000000000002</v>
      </c>
      <c r="M394" s="111"/>
      <c r="N394" s="111"/>
    </row>
    <row r="395" spans="2:15" s="138" customFormat="1" ht="51">
      <c r="B395" s="126">
        <v>383</v>
      </c>
      <c r="C395" s="127">
        <v>26</v>
      </c>
      <c r="D395" s="135" t="s">
        <v>219</v>
      </c>
      <c r="E395" s="136" t="s">
        <v>707</v>
      </c>
      <c r="F395" s="136" t="s">
        <v>708</v>
      </c>
      <c r="G395" s="131" t="s">
        <v>529</v>
      </c>
      <c r="H395" s="137" t="s">
        <v>671</v>
      </c>
      <c r="I395" s="131"/>
      <c r="J395" s="131"/>
      <c r="K395" s="131"/>
      <c r="L395" s="131">
        <f>SUM(L396:L397)</f>
        <v>5074.08</v>
      </c>
      <c r="M395" s="133">
        <v>25366.67</v>
      </c>
      <c r="N395" s="134">
        <v>15219.99</v>
      </c>
    </row>
    <row r="396" spans="2:15" ht="15.75">
      <c r="B396" s="106">
        <v>384</v>
      </c>
      <c r="C396" s="107">
        <v>26</v>
      </c>
      <c r="D396" s="108"/>
      <c r="E396" s="25"/>
      <c r="F396" s="25"/>
      <c r="G396" s="112" t="s">
        <v>530</v>
      </c>
      <c r="H396" s="112">
        <v>1.19</v>
      </c>
      <c r="I396" s="112">
        <v>300</v>
      </c>
      <c r="J396" s="112">
        <v>1</v>
      </c>
      <c r="K396" s="112">
        <v>4</v>
      </c>
      <c r="L396" s="110">
        <f>H396*I396*J396*K396</f>
        <v>1428</v>
      </c>
      <c r="M396" s="111"/>
      <c r="N396" s="111"/>
      <c r="O396" s="297">
        <f>21500/P2</f>
        <v>1.1993752091933505</v>
      </c>
    </row>
    <row r="397" spans="2:15" ht="15.75">
      <c r="B397" s="106">
        <v>385</v>
      </c>
      <c r="C397" s="107">
        <v>26</v>
      </c>
      <c r="D397" s="108"/>
      <c r="E397" s="25"/>
      <c r="F397" s="25"/>
      <c r="G397" s="112" t="s">
        <v>531</v>
      </c>
      <c r="H397" s="112">
        <v>1.44</v>
      </c>
      <c r="I397" s="112">
        <f>633</f>
        <v>633</v>
      </c>
      <c r="J397" s="112">
        <v>1</v>
      </c>
      <c r="K397" s="112">
        <v>4</v>
      </c>
      <c r="L397" s="110">
        <f>H397*I397*J397*K397</f>
        <v>3646.08</v>
      </c>
      <c r="M397" s="111"/>
      <c r="N397" s="111"/>
      <c r="O397" s="297">
        <f>26000/P2</f>
        <v>1.4504072297221913</v>
      </c>
    </row>
    <row r="398" spans="2:15" s="138" customFormat="1" ht="51">
      <c r="B398" s="126"/>
      <c r="C398" s="127" t="s">
        <v>890</v>
      </c>
      <c r="D398" s="135" t="s">
        <v>891</v>
      </c>
      <c r="E398" s="136" t="s">
        <v>892</v>
      </c>
      <c r="F398" s="136"/>
      <c r="G398" s="131"/>
      <c r="H398" s="137" t="s">
        <v>671</v>
      </c>
      <c r="I398" s="131"/>
      <c r="J398" s="131"/>
      <c r="K398" s="131"/>
      <c r="L398" s="131">
        <f>SUM(L399:L402)</f>
        <v>299895.25828405673</v>
      </c>
      <c r="M398" s="133">
        <v>25366.67</v>
      </c>
      <c r="N398" s="134">
        <v>15219.99</v>
      </c>
    </row>
    <row r="399" spans="2:15" ht="30">
      <c r="B399" s="106"/>
      <c r="C399" s="127" t="s">
        <v>890</v>
      </c>
      <c r="D399" s="108"/>
      <c r="E399" s="25"/>
      <c r="F399" s="25"/>
      <c r="G399" s="112" t="s">
        <v>467</v>
      </c>
      <c r="H399" s="214">
        <v>65308.936739930832</v>
      </c>
      <c r="I399" s="112">
        <v>1</v>
      </c>
      <c r="J399" s="112">
        <v>1</v>
      </c>
      <c r="K399" s="112">
        <v>1</v>
      </c>
      <c r="L399" s="110">
        <f>H399*I399*J399*K399</f>
        <v>65308.936739930832</v>
      </c>
      <c r="M399" s="111"/>
      <c r="N399" s="111"/>
      <c r="O399" s="392" t="s">
        <v>999</v>
      </c>
    </row>
    <row r="400" spans="2:15" ht="30">
      <c r="B400" s="106">
        <v>385</v>
      </c>
      <c r="C400" s="127" t="s">
        <v>890</v>
      </c>
      <c r="D400" s="108"/>
      <c r="E400" s="25"/>
      <c r="F400" s="25"/>
      <c r="G400" s="112" t="s">
        <v>468</v>
      </c>
      <c r="H400" s="214">
        <v>70573.580274461681</v>
      </c>
      <c r="I400" s="112">
        <v>1</v>
      </c>
      <c r="J400" s="112">
        <v>1</v>
      </c>
      <c r="K400" s="112">
        <v>1</v>
      </c>
      <c r="L400" s="110">
        <f t="shared" ref="L400:L402" si="22">H400*I400*J400*K400</f>
        <v>70573.580274461681</v>
      </c>
      <c r="M400" s="111"/>
      <c r="N400" s="111"/>
      <c r="O400" s="392"/>
    </row>
    <row r="401" spans="2:15" ht="30">
      <c r="B401" s="106"/>
      <c r="C401" s="127" t="s">
        <v>890</v>
      </c>
      <c r="D401" s="108"/>
      <c r="E401" s="25"/>
      <c r="F401" s="25"/>
      <c r="G401" s="112" t="s">
        <v>469</v>
      </c>
      <c r="H401" s="214">
        <v>78101.305366506771</v>
      </c>
      <c r="I401" s="112">
        <v>1</v>
      </c>
      <c r="J401" s="112">
        <v>1</v>
      </c>
      <c r="K401" s="112">
        <v>1</v>
      </c>
      <c r="L401" s="110">
        <f t="shared" si="22"/>
        <v>78101.305366506771</v>
      </c>
      <c r="M401" s="111"/>
      <c r="N401" s="111"/>
      <c r="O401" s="392"/>
    </row>
    <row r="402" spans="2:15" ht="30">
      <c r="B402" s="106">
        <v>385</v>
      </c>
      <c r="C402" s="127" t="s">
        <v>890</v>
      </c>
      <c r="D402" s="108"/>
      <c r="E402" s="25"/>
      <c r="F402" s="25"/>
      <c r="G402" s="112" t="s">
        <v>470</v>
      </c>
      <c r="H402" s="214">
        <v>85911.435903157457</v>
      </c>
      <c r="I402" s="112">
        <v>1</v>
      </c>
      <c r="J402" s="112">
        <v>1</v>
      </c>
      <c r="K402" s="112">
        <v>1</v>
      </c>
      <c r="L402" s="110">
        <f t="shared" si="22"/>
        <v>85911.435903157457</v>
      </c>
      <c r="M402" s="111"/>
      <c r="N402" s="111"/>
      <c r="O402" s="392"/>
    </row>
    <row r="403" spans="2:15" s="138" customFormat="1" ht="38.25">
      <c r="B403" s="126">
        <v>386</v>
      </c>
      <c r="C403" s="127">
        <v>27</v>
      </c>
      <c r="D403" s="135" t="s">
        <v>218</v>
      </c>
      <c r="E403" s="136" t="s">
        <v>217</v>
      </c>
      <c r="F403" s="136" t="s">
        <v>709</v>
      </c>
      <c r="G403" s="131" t="s">
        <v>532</v>
      </c>
      <c r="H403" s="137" t="s">
        <v>671</v>
      </c>
      <c r="I403" s="131"/>
      <c r="J403" s="131"/>
      <c r="K403" s="131"/>
      <c r="L403" s="131">
        <f>SUM(L404:L405)</f>
        <v>6306.48</v>
      </c>
      <c r="M403" s="133">
        <v>31532.400000000001</v>
      </c>
      <c r="N403" s="134">
        <v>18919.439999999999</v>
      </c>
    </row>
    <row r="404" spans="2:15" ht="15.75">
      <c r="B404" s="106">
        <v>387</v>
      </c>
      <c r="C404" s="107">
        <v>27</v>
      </c>
      <c r="D404" s="108"/>
      <c r="E404" s="25"/>
      <c r="F404" s="25"/>
      <c r="G404" s="112" t="s">
        <v>533</v>
      </c>
      <c r="H404" s="112">
        <v>1500</v>
      </c>
      <c r="I404" s="112">
        <v>2</v>
      </c>
      <c r="J404" s="112">
        <v>1</v>
      </c>
      <c r="K404" s="112">
        <v>1</v>
      </c>
      <c r="L404" s="110">
        <f>H404*I404*J404*K404</f>
        <v>3000</v>
      </c>
      <c r="M404" s="111"/>
      <c r="N404" s="111"/>
    </row>
    <row r="405" spans="2:15" ht="15.75">
      <c r="B405" s="106">
        <v>388</v>
      </c>
      <c r="C405" s="107">
        <v>27</v>
      </c>
      <c r="D405" s="108"/>
      <c r="E405" s="25"/>
      <c r="F405" s="25"/>
      <c r="G405" s="112" t="s">
        <v>534</v>
      </c>
      <c r="H405" s="112">
        <v>413.31</v>
      </c>
      <c r="I405" s="112">
        <v>8</v>
      </c>
      <c r="J405" s="112">
        <v>1</v>
      </c>
      <c r="K405" s="112">
        <v>1</v>
      </c>
      <c r="L405" s="110">
        <f>H405*I405*J405*K405</f>
        <v>3306.48</v>
      </c>
      <c r="M405" s="111"/>
      <c r="N405" s="111"/>
    </row>
    <row r="406" spans="2:15" s="138" customFormat="1" ht="25.5">
      <c r="B406" s="126">
        <v>389</v>
      </c>
      <c r="C406" s="127">
        <v>28</v>
      </c>
      <c r="D406" s="135" t="s">
        <v>215</v>
      </c>
      <c r="E406" s="136" t="s">
        <v>214</v>
      </c>
      <c r="F406" s="136" t="s">
        <v>709</v>
      </c>
      <c r="G406" s="131" t="s">
        <v>535</v>
      </c>
      <c r="H406" s="137" t="s">
        <v>671</v>
      </c>
      <c r="I406" s="131"/>
      <c r="J406" s="131"/>
      <c r="K406" s="131"/>
      <c r="L406" s="131">
        <f>SUM(L407:L408)</f>
        <v>8320</v>
      </c>
      <c r="M406" s="133">
        <v>41600</v>
      </c>
      <c r="N406" s="134">
        <v>24960</v>
      </c>
    </row>
    <row r="407" spans="2:15" ht="15.75">
      <c r="B407" s="106">
        <v>390</v>
      </c>
      <c r="C407" s="107">
        <v>28</v>
      </c>
      <c r="D407" s="108"/>
      <c r="E407" s="25"/>
      <c r="F407" s="25"/>
      <c r="G407" s="112" t="s">
        <v>535</v>
      </c>
      <c r="H407" s="112">
        <v>1800</v>
      </c>
      <c r="I407" s="112">
        <v>2</v>
      </c>
      <c r="J407" s="112">
        <v>2</v>
      </c>
      <c r="K407" s="112">
        <v>1</v>
      </c>
      <c r="L407" s="110">
        <f>H407*I407*J407*K407</f>
        <v>7200</v>
      </c>
      <c r="M407" s="111"/>
      <c r="N407" s="111"/>
    </row>
    <row r="408" spans="2:15" ht="15.75">
      <c r="B408" s="106">
        <v>391</v>
      </c>
      <c r="C408" s="107">
        <v>28</v>
      </c>
      <c r="D408" s="108"/>
      <c r="E408" s="25"/>
      <c r="F408" s="25"/>
      <c r="G408" s="112" t="s">
        <v>536</v>
      </c>
      <c r="H408" s="112">
        <v>28</v>
      </c>
      <c r="I408" s="112">
        <v>10</v>
      </c>
      <c r="J408" s="112">
        <v>4</v>
      </c>
      <c r="K408" s="112">
        <v>1</v>
      </c>
      <c r="L408" s="110">
        <f>H408*I408*J408*K408</f>
        <v>1120</v>
      </c>
      <c r="M408" s="111"/>
      <c r="N408" s="111"/>
    </row>
    <row r="409" spans="2:15" s="138" customFormat="1" ht="38.25">
      <c r="B409" s="126">
        <v>392</v>
      </c>
      <c r="C409" s="127">
        <v>29</v>
      </c>
      <c r="D409" s="135" t="s">
        <v>213</v>
      </c>
      <c r="E409" s="129" t="s">
        <v>212</v>
      </c>
      <c r="F409" s="136" t="s">
        <v>710</v>
      </c>
      <c r="G409" s="131" t="s">
        <v>537</v>
      </c>
      <c r="H409" s="137" t="s">
        <v>671</v>
      </c>
      <c r="I409" s="131"/>
      <c r="J409" s="131"/>
      <c r="K409" s="131"/>
      <c r="L409" s="131">
        <f>SUM(L410:L411)</f>
        <v>32240</v>
      </c>
      <c r="M409" s="133">
        <v>32240</v>
      </c>
      <c r="N409" s="134">
        <v>32240</v>
      </c>
    </row>
    <row r="410" spans="2:15" ht="15.75">
      <c r="B410" s="106">
        <v>393</v>
      </c>
      <c r="C410" s="107">
        <v>29</v>
      </c>
      <c r="D410" s="108"/>
      <c r="E410" s="25"/>
      <c r="F410" s="25"/>
      <c r="G410" s="112" t="s">
        <v>538</v>
      </c>
      <c r="H410" s="112">
        <v>30000</v>
      </c>
      <c r="I410" s="112">
        <v>1</v>
      </c>
      <c r="J410" s="112">
        <v>1</v>
      </c>
      <c r="K410" s="112">
        <v>1</v>
      </c>
      <c r="L410" s="110">
        <f>H410*I410*J410*K410</f>
        <v>30000</v>
      </c>
      <c r="M410" s="111"/>
      <c r="N410" s="111"/>
    </row>
    <row r="411" spans="2:15" ht="15.75">
      <c r="B411" s="106">
        <v>394</v>
      </c>
      <c r="C411" s="107">
        <v>29</v>
      </c>
      <c r="D411" s="108"/>
      <c r="E411" s="25"/>
      <c r="F411" s="25"/>
      <c r="G411" s="112" t="s">
        <v>539</v>
      </c>
      <c r="H411" s="112">
        <v>280</v>
      </c>
      <c r="I411" s="112">
        <v>4</v>
      </c>
      <c r="J411" s="112">
        <v>2</v>
      </c>
      <c r="K411" s="112">
        <v>1</v>
      </c>
      <c r="L411" s="110">
        <f>H411*I411*J411*K411</f>
        <v>2240</v>
      </c>
      <c r="M411" s="111"/>
      <c r="N411" s="111"/>
    </row>
    <row r="412" spans="2:15" s="138" customFormat="1" ht="48">
      <c r="B412" s="126">
        <v>395</v>
      </c>
      <c r="C412" s="127">
        <v>30</v>
      </c>
      <c r="D412" s="135" t="s">
        <v>211</v>
      </c>
      <c r="E412" s="129" t="s">
        <v>210</v>
      </c>
      <c r="F412" s="298" t="s">
        <v>711</v>
      </c>
      <c r="G412" s="131" t="s">
        <v>1102</v>
      </c>
      <c r="H412" s="137" t="s">
        <v>671</v>
      </c>
      <c r="I412" s="131"/>
      <c r="J412" s="131"/>
      <c r="K412" s="131"/>
      <c r="L412" s="131">
        <f>SUM(L413:L416)</f>
        <v>23611.11</v>
      </c>
      <c r="M412" s="133">
        <v>48611.11</v>
      </c>
      <c r="N412" s="134">
        <v>48611.11</v>
      </c>
    </row>
    <row r="413" spans="2:15" ht="15.75">
      <c r="B413" s="106">
        <v>396</v>
      </c>
      <c r="C413" s="107">
        <v>30</v>
      </c>
      <c r="D413" s="108"/>
      <c r="E413" s="25"/>
      <c r="F413" s="25"/>
      <c r="G413" s="112" t="s">
        <v>583</v>
      </c>
      <c r="H413" s="143">
        <v>1388.88</v>
      </c>
      <c r="I413" s="112">
        <v>7</v>
      </c>
      <c r="J413" s="112">
        <v>1</v>
      </c>
      <c r="K413" s="112">
        <v>1</v>
      </c>
      <c r="L413" s="110">
        <f>H413*I413*J413*K413</f>
        <v>9722.16</v>
      </c>
      <c r="M413" s="111"/>
      <c r="N413" s="111"/>
    </row>
    <row r="414" spans="2:15" ht="15.75">
      <c r="B414" s="106">
        <v>397</v>
      </c>
      <c r="C414" s="107">
        <v>30</v>
      </c>
      <c r="D414" s="108"/>
      <c r="E414" s="25"/>
      <c r="F414" s="25"/>
      <c r="G414" s="112" t="s">
        <v>584</v>
      </c>
      <c r="H414" s="145">
        <f>333.34+0.00428571428554797</f>
        <v>333.34428571428555</v>
      </c>
      <c r="I414" s="112">
        <v>7</v>
      </c>
      <c r="J414" s="112">
        <v>1</v>
      </c>
      <c r="K414" s="112">
        <v>1</v>
      </c>
      <c r="L414" s="110">
        <f t="shared" ref="L414:L416" si="23">H414*I414*J414*K414</f>
        <v>2333.4099999999989</v>
      </c>
      <c r="M414" s="144"/>
      <c r="N414" s="111"/>
    </row>
    <row r="415" spans="2:15" ht="15.75">
      <c r="B415" s="106">
        <v>398</v>
      </c>
      <c r="C415" s="107">
        <v>30</v>
      </c>
      <c r="D415" s="108"/>
      <c r="E415" s="25"/>
      <c r="F415" s="25"/>
      <c r="G415" s="112" t="s">
        <v>585</v>
      </c>
      <c r="H415" s="112">
        <v>222.22</v>
      </c>
      <c r="I415" s="112">
        <v>7</v>
      </c>
      <c r="J415" s="112">
        <v>1</v>
      </c>
      <c r="K415" s="112">
        <v>1</v>
      </c>
      <c r="L415" s="110">
        <f t="shared" si="23"/>
        <v>1555.54</v>
      </c>
      <c r="M415" s="111"/>
      <c r="N415" s="111"/>
    </row>
    <row r="416" spans="2:15" ht="15.75">
      <c r="B416" s="106">
        <v>399</v>
      </c>
      <c r="C416" s="107">
        <v>30</v>
      </c>
      <c r="D416" s="108"/>
      <c r="E416" s="25"/>
      <c r="F416" s="25"/>
      <c r="G416" s="112" t="s">
        <v>586</v>
      </c>
      <c r="H416" s="112">
        <v>5000</v>
      </c>
      <c r="I416" s="112">
        <v>2</v>
      </c>
      <c r="J416" s="112">
        <v>1</v>
      </c>
      <c r="K416" s="112">
        <v>1</v>
      </c>
      <c r="L416" s="110">
        <f t="shared" si="23"/>
        <v>10000</v>
      </c>
      <c r="M416" s="111"/>
      <c r="N416" s="111"/>
    </row>
    <row r="417" spans="2:16" s="138" customFormat="1" ht="63.75">
      <c r="B417" s="126">
        <v>400</v>
      </c>
      <c r="C417" s="127">
        <v>31</v>
      </c>
      <c r="D417" s="135" t="s">
        <v>209</v>
      </c>
      <c r="E417" s="136" t="s">
        <v>712</v>
      </c>
      <c r="F417" s="136" t="s">
        <v>713</v>
      </c>
      <c r="G417" s="131" t="s">
        <v>208</v>
      </c>
      <c r="H417" s="137" t="s">
        <v>671</v>
      </c>
      <c r="I417" s="131"/>
      <c r="J417" s="131"/>
      <c r="K417" s="131"/>
      <c r="L417" s="131">
        <f>SUM(L418)</f>
        <v>1284</v>
      </c>
      <c r="M417" s="133">
        <v>6420</v>
      </c>
      <c r="N417" s="134">
        <v>3852</v>
      </c>
    </row>
    <row r="418" spans="2:16" ht="15.75">
      <c r="B418" s="106">
        <v>401</v>
      </c>
      <c r="C418" s="107">
        <v>31</v>
      </c>
      <c r="D418" s="108"/>
      <c r="E418" s="25"/>
      <c r="F418" s="25"/>
      <c r="G418" s="112" t="s">
        <v>587</v>
      </c>
      <c r="H418" s="112">
        <v>1284</v>
      </c>
      <c r="I418" s="112">
        <v>1</v>
      </c>
      <c r="J418" s="112">
        <v>1</v>
      </c>
      <c r="K418" s="112">
        <v>1</v>
      </c>
      <c r="L418" s="110">
        <f>H418*I418*J418*K418</f>
        <v>1284</v>
      </c>
      <c r="M418" s="111"/>
      <c r="N418" s="111"/>
    </row>
    <row r="419" spans="2:16" s="138" customFormat="1" ht="51">
      <c r="B419" s="126">
        <v>402</v>
      </c>
      <c r="C419" s="127">
        <v>32</v>
      </c>
      <c r="D419" s="135" t="s">
        <v>207</v>
      </c>
      <c r="E419" s="129" t="s">
        <v>714</v>
      </c>
      <c r="F419" s="136" t="s">
        <v>715</v>
      </c>
      <c r="G419" s="131" t="s">
        <v>556</v>
      </c>
      <c r="H419" s="137" t="s">
        <v>671</v>
      </c>
      <c r="I419" s="131"/>
      <c r="J419" s="131"/>
      <c r="K419" s="131"/>
      <c r="L419" s="131">
        <f>SUM(L420)</f>
        <v>7000</v>
      </c>
      <c r="M419" s="133">
        <v>7000</v>
      </c>
      <c r="N419" s="134">
        <v>7000</v>
      </c>
    </row>
    <row r="420" spans="2:16" ht="15.75">
      <c r="B420" s="106">
        <v>403</v>
      </c>
      <c r="C420" s="107">
        <v>32</v>
      </c>
      <c r="D420" s="108"/>
      <c r="E420" s="25"/>
      <c r="F420" s="25"/>
      <c r="G420" s="299" t="s">
        <v>557</v>
      </c>
      <c r="H420" s="299">
        <v>3500</v>
      </c>
      <c r="I420" s="299">
        <v>2</v>
      </c>
      <c r="J420" s="299">
        <v>1</v>
      </c>
      <c r="K420" s="299">
        <v>1</v>
      </c>
      <c r="L420" s="300">
        <f>H420*I420*J420*K420</f>
        <v>7000</v>
      </c>
      <c r="M420" s="301"/>
      <c r="N420" s="301"/>
      <c r="O420" s="302" t="s">
        <v>1000</v>
      </c>
      <c r="P420" s="302"/>
    </row>
    <row r="421" spans="2:16" s="138" customFormat="1" ht="51">
      <c r="B421" s="126">
        <v>404</v>
      </c>
      <c r="C421" s="127">
        <v>33</v>
      </c>
      <c r="D421" s="135" t="s">
        <v>205</v>
      </c>
      <c r="E421" s="129" t="s">
        <v>716</v>
      </c>
      <c r="F421" s="136" t="s">
        <v>717</v>
      </c>
      <c r="G421" s="131" t="s">
        <v>204</v>
      </c>
      <c r="H421" s="137" t="s">
        <v>671</v>
      </c>
      <c r="I421" s="131"/>
      <c r="J421" s="131"/>
      <c r="K421" s="131"/>
      <c r="L421" s="131">
        <f>SUM(L422)</f>
        <v>5100</v>
      </c>
      <c r="M421" s="133">
        <v>15300</v>
      </c>
      <c r="N421" s="134">
        <v>10200</v>
      </c>
    </row>
    <row r="422" spans="2:16" ht="15.75">
      <c r="B422" s="106">
        <v>405</v>
      </c>
      <c r="C422" s="107">
        <v>33</v>
      </c>
      <c r="D422" s="108"/>
      <c r="E422" s="25"/>
      <c r="F422" s="25"/>
      <c r="G422" s="299" t="s">
        <v>581</v>
      </c>
      <c r="H422" s="299">
        <v>17</v>
      </c>
      <c r="I422" s="299">
        <v>300</v>
      </c>
      <c r="J422" s="299">
        <v>1</v>
      </c>
      <c r="K422" s="299">
        <v>1</v>
      </c>
      <c r="L422" s="300">
        <f>H422*I422*J422*K422</f>
        <v>5100</v>
      </c>
      <c r="M422" s="301"/>
      <c r="N422" s="301"/>
      <c r="O422" s="302" t="s">
        <v>1000</v>
      </c>
      <c r="P422" s="302"/>
    </row>
    <row r="423" spans="2:16" s="138" customFormat="1" ht="63.75">
      <c r="B423" s="126">
        <v>406</v>
      </c>
      <c r="C423" s="127">
        <v>34</v>
      </c>
      <c r="D423" s="135" t="s">
        <v>203</v>
      </c>
      <c r="E423" s="129" t="s">
        <v>718</v>
      </c>
      <c r="F423" s="136" t="s">
        <v>719</v>
      </c>
      <c r="G423" s="131" t="s">
        <v>202</v>
      </c>
      <c r="H423" s="137" t="s">
        <v>671</v>
      </c>
      <c r="I423" s="131"/>
      <c r="J423" s="131"/>
      <c r="K423" s="131"/>
      <c r="L423" s="131">
        <f>SUM(L424)</f>
        <v>700</v>
      </c>
      <c r="M423" s="133">
        <v>3500</v>
      </c>
      <c r="N423" s="134">
        <v>2100</v>
      </c>
    </row>
    <row r="424" spans="2:16" ht="15.75">
      <c r="B424" s="106">
        <v>407</v>
      </c>
      <c r="C424" s="107">
        <v>34</v>
      </c>
      <c r="D424" s="108"/>
      <c r="E424" s="25"/>
      <c r="F424" s="25"/>
      <c r="G424" s="112" t="s">
        <v>587</v>
      </c>
      <c r="H424" s="112">
        <v>350</v>
      </c>
      <c r="I424" s="112">
        <v>2</v>
      </c>
      <c r="J424" s="112">
        <v>1</v>
      </c>
      <c r="K424" s="112">
        <v>1</v>
      </c>
      <c r="L424" s="110">
        <f>H424*I424*J424*K424</f>
        <v>700</v>
      </c>
      <c r="M424" s="111"/>
      <c r="N424" s="111"/>
    </row>
    <row r="425" spans="2:16" s="138" customFormat="1" ht="36">
      <c r="B425" s="126">
        <v>408</v>
      </c>
      <c r="C425" s="127">
        <v>35</v>
      </c>
      <c r="D425" s="135" t="s">
        <v>200</v>
      </c>
      <c r="E425" s="129" t="s">
        <v>720</v>
      </c>
      <c r="F425" s="136" t="s">
        <v>721</v>
      </c>
      <c r="G425" s="131" t="s">
        <v>565</v>
      </c>
      <c r="H425" s="137" t="s">
        <v>671</v>
      </c>
      <c r="I425" s="131"/>
      <c r="J425" s="131"/>
      <c r="K425" s="131"/>
      <c r="L425" s="131">
        <f>SUM(L426:L427)</f>
        <v>28333.4</v>
      </c>
      <c r="M425" s="133">
        <v>28333.33</v>
      </c>
      <c r="N425" s="134">
        <v>28333.33</v>
      </c>
    </row>
    <row r="426" spans="2:16" ht="15.75">
      <c r="B426" s="106">
        <v>409</v>
      </c>
      <c r="C426" s="107">
        <v>35</v>
      </c>
      <c r="D426" s="108"/>
      <c r="E426" s="25"/>
      <c r="F426" s="25"/>
      <c r="G426" s="299" t="s">
        <v>566</v>
      </c>
      <c r="H426" s="299">
        <v>2777.78</v>
      </c>
      <c r="I426" s="299">
        <v>10</v>
      </c>
      <c r="J426" s="299">
        <v>1</v>
      </c>
      <c r="K426" s="299">
        <v>1</v>
      </c>
      <c r="L426" s="300">
        <f>H426*I426*J426*K426</f>
        <v>27777.800000000003</v>
      </c>
      <c r="M426" s="111"/>
      <c r="N426" s="111"/>
    </row>
    <row r="427" spans="2:16" ht="15.75">
      <c r="B427" s="106">
        <v>410</v>
      </c>
      <c r="C427" s="107">
        <v>35</v>
      </c>
      <c r="D427" s="108"/>
      <c r="E427" s="25"/>
      <c r="F427" s="25"/>
      <c r="G427" s="299" t="s">
        <v>567</v>
      </c>
      <c r="H427" s="299">
        <v>55.56</v>
      </c>
      <c r="I427" s="299">
        <v>10</v>
      </c>
      <c r="J427" s="299">
        <v>1</v>
      </c>
      <c r="K427" s="299">
        <v>1</v>
      </c>
      <c r="L427" s="300">
        <f>H427*I427*J427*K427</f>
        <v>555.6</v>
      </c>
      <c r="M427" s="111"/>
      <c r="N427" s="111"/>
    </row>
    <row r="428" spans="2:16" s="138" customFormat="1" ht="76.5">
      <c r="B428" s="126">
        <v>411</v>
      </c>
      <c r="C428" s="127">
        <v>36</v>
      </c>
      <c r="D428" s="135" t="s">
        <v>198</v>
      </c>
      <c r="E428" s="129" t="s">
        <v>722</v>
      </c>
      <c r="F428" s="136" t="s">
        <v>723</v>
      </c>
      <c r="G428" s="131" t="s">
        <v>722</v>
      </c>
      <c r="H428" s="137" t="s">
        <v>671</v>
      </c>
      <c r="I428" s="131"/>
      <c r="J428" s="131"/>
      <c r="K428" s="131"/>
      <c r="L428" s="131">
        <f>SUM(L429:L432)</f>
        <v>16825</v>
      </c>
      <c r="M428" s="133">
        <v>16825</v>
      </c>
      <c r="N428" s="134">
        <v>16825</v>
      </c>
    </row>
    <row r="429" spans="2:16" ht="15.75">
      <c r="B429" s="106">
        <v>412</v>
      </c>
      <c r="C429" s="107">
        <v>36</v>
      </c>
      <c r="D429" s="108"/>
      <c r="E429" s="25"/>
      <c r="F429" s="25"/>
      <c r="G429" s="112" t="s">
        <v>425</v>
      </c>
      <c r="H429" s="112">
        <v>2000</v>
      </c>
      <c r="I429" s="110">
        <v>1</v>
      </c>
      <c r="J429" s="110">
        <v>1</v>
      </c>
      <c r="K429" s="112">
        <v>1</v>
      </c>
      <c r="L429" s="110">
        <f>H429*I429*J429*K429</f>
        <v>2000</v>
      </c>
      <c r="M429" s="111"/>
      <c r="N429" s="111"/>
    </row>
    <row r="430" spans="2:16" ht="15.75">
      <c r="B430" s="106">
        <v>413</v>
      </c>
      <c r="C430" s="107">
        <v>36</v>
      </c>
      <c r="D430" s="108"/>
      <c r="E430" s="25"/>
      <c r="F430" s="25"/>
      <c r="G430" s="112" t="s">
        <v>428</v>
      </c>
      <c r="H430" s="112">
        <v>600</v>
      </c>
      <c r="I430" s="110">
        <v>1</v>
      </c>
      <c r="J430" s="110">
        <v>1</v>
      </c>
      <c r="K430" s="112">
        <v>15</v>
      </c>
      <c r="L430" s="110">
        <f t="shared" ref="L430:L431" si="24">H430*I430*J430*K430</f>
        <v>9000</v>
      </c>
      <c r="M430" s="111"/>
      <c r="N430" s="111"/>
    </row>
    <row r="431" spans="2:16" ht="15.75">
      <c r="B431" s="106">
        <v>414</v>
      </c>
      <c r="C431" s="107">
        <v>36</v>
      </c>
      <c r="D431" s="108"/>
      <c r="E431" s="25"/>
      <c r="F431" s="25"/>
      <c r="G431" s="112" t="s">
        <v>563</v>
      </c>
      <c r="H431" s="112">
        <v>173</v>
      </c>
      <c r="I431" s="110">
        <v>1</v>
      </c>
      <c r="J431" s="110">
        <v>1</v>
      </c>
      <c r="K431" s="112">
        <v>25</v>
      </c>
      <c r="L431" s="110">
        <f t="shared" si="24"/>
        <v>4325</v>
      </c>
      <c r="M431" s="111"/>
      <c r="N431" s="111"/>
    </row>
    <row r="432" spans="2:16" ht="15.75">
      <c r="B432" s="106">
        <v>415</v>
      </c>
      <c r="C432" s="107">
        <v>36</v>
      </c>
      <c r="D432" s="108"/>
      <c r="E432" s="25"/>
      <c r="F432" s="25"/>
      <c r="G432" s="112" t="s">
        <v>564</v>
      </c>
      <c r="H432" s="112">
        <v>1500</v>
      </c>
      <c r="I432" s="110">
        <v>1</v>
      </c>
      <c r="J432" s="110">
        <v>1</v>
      </c>
      <c r="K432" s="112">
        <v>1</v>
      </c>
      <c r="L432" s="110">
        <f>H432*I432*J432*K432</f>
        <v>1500</v>
      </c>
      <c r="M432" s="111"/>
      <c r="N432" s="111"/>
    </row>
    <row r="433" spans="2:14" s="138" customFormat="1" ht="63.75">
      <c r="B433" s="126">
        <v>416</v>
      </c>
      <c r="C433" s="127">
        <v>37</v>
      </c>
      <c r="D433" s="135" t="s">
        <v>196</v>
      </c>
      <c r="E433" s="129" t="s">
        <v>724</v>
      </c>
      <c r="F433" s="136" t="s">
        <v>725</v>
      </c>
      <c r="G433" s="131" t="s">
        <v>726</v>
      </c>
      <c r="H433" s="137" t="s">
        <v>671</v>
      </c>
      <c r="I433" s="131"/>
      <c r="J433" s="131"/>
      <c r="K433" s="131"/>
      <c r="L433" s="131">
        <f>SUM(L434:L449)</f>
        <v>2313.6899999999996</v>
      </c>
      <c r="M433" s="133">
        <v>11568.45</v>
      </c>
      <c r="N433" s="134">
        <v>6941.07</v>
      </c>
    </row>
    <row r="434" spans="2:14" ht="15.75">
      <c r="B434" s="106">
        <v>417</v>
      </c>
      <c r="C434" s="107">
        <v>37</v>
      </c>
      <c r="D434" s="108"/>
      <c r="E434" s="25"/>
      <c r="F434" s="25"/>
      <c r="G434" s="103" t="s">
        <v>727</v>
      </c>
      <c r="H434" s="112" t="s">
        <v>671</v>
      </c>
      <c r="I434" s="103"/>
      <c r="J434" s="103"/>
      <c r="K434" s="103"/>
      <c r="L434" s="110"/>
      <c r="M434" s="111"/>
      <c r="N434" s="111"/>
    </row>
    <row r="435" spans="2:14" ht="15.75">
      <c r="B435" s="106">
        <v>418</v>
      </c>
      <c r="C435" s="107">
        <v>37</v>
      </c>
      <c r="D435" s="108"/>
      <c r="E435" s="25"/>
      <c r="F435" s="25"/>
      <c r="G435" s="112" t="s">
        <v>462</v>
      </c>
      <c r="H435" s="112">
        <v>25</v>
      </c>
      <c r="I435" s="110">
        <v>2</v>
      </c>
      <c r="J435" s="110">
        <v>1</v>
      </c>
      <c r="K435" s="110">
        <v>7</v>
      </c>
      <c r="L435" s="110">
        <f t="shared" ref="L435:L449" si="25">H435*I435*J435*K435</f>
        <v>350</v>
      </c>
      <c r="M435" s="111"/>
      <c r="N435" s="111"/>
    </row>
    <row r="436" spans="2:14" ht="15.75">
      <c r="B436" s="106">
        <v>419</v>
      </c>
      <c r="C436" s="107">
        <v>37</v>
      </c>
      <c r="D436" s="108"/>
      <c r="E436" s="25"/>
      <c r="F436" s="25"/>
      <c r="G436" s="112" t="s">
        <v>550</v>
      </c>
      <c r="H436" s="112">
        <v>8</v>
      </c>
      <c r="I436" s="110">
        <v>1</v>
      </c>
      <c r="J436" s="110">
        <v>1</v>
      </c>
      <c r="K436" s="110">
        <v>1</v>
      </c>
      <c r="L436" s="110">
        <f t="shared" si="25"/>
        <v>8</v>
      </c>
      <c r="M436" s="111"/>
      <c r="N436" s="111"/>
    </row>
    <row r="437" spans="2:14" ht="15.75">
      <c r="B437" s="106">
        <v>420</v>
      </c>
      <c r="C437" s="107">
        <v>37</v>
      </c>
      <c r="D437" s="108"/>
      <c r="E437" s="25"/>
      <c r="F437" s="25"/>
      <c r="G437" s="112" t="s">
        <v>551</v>
      </c>
      <c r="H437" s="112">
        <v>260</v>
      </c>
      <c r="I437" s="110">
        <v>2</v>
      </c>
      <c r="J437" s="110">
        <v>1</v>
      </c>
      <c r="K437" s="110">
        <v>1</v>
      </c>
      <c r="L437" s="110">
        <f t="shared" si="25"/>
        <v>520</v>
      </c>
      <c r="M437" s="111"/>
      <c r="N437" s="111"/>
    </row>
    <row r="438" spans="2:14" ht="15.75">
      <c r="B438" s="106">
        <v>421</v>
      </c>
      <c r="C438" s="107">
        <v>37</v>
      </c>
      <c r="D438" s="108"/>
      <c r="E438" s="25"/>
      <c r="F438" s="25"/>
      <c r="G438" s="112" t="s">
        <v>552</v>
      </c>
      <c r="H438" s="112">
        <v>119</v>
      </c>
      <c r="I438" s="110">
        <v>2</v>
      </c>
      <c r="J438" s="110">
        <v>1</v>
      </c>
      <c r="K438" s="110">
        <v>3</v>
      </c>
      <c r="L438" s="110">
        <f t="shared" si="25"/>
        <v>714</v>
      </c>
      <c r="M438" s="111"/>
      <c r="N438" s="111"/>
    </row>
    <row r="439" spans="2:14" ht="15.75">
      <c r="B439" s="106">
        <v>422</v>
      </c>
      <c r="C439" s="107">
        <v>37</v>
      </c>
      <c r="D439" s="108"/>
      <c r="E439" s="25"/>
      <c r="F439" s="25"/>
      <c r="G439" s="112" t="s">
        <v>472</v>
      </c>
      <c r="H439" s="112">
        <v>1.19</v>
      </c>
      <c r="I439" s="110">
        <v>215</v>
      </c>
      <c r="J439" s="110">
        <v>1</v>
      </c>
      <c r="K439" s="110">
        <v>1</v>
      </c>
      <c r="L439" s="110">
        <f t="shared" si="25"/>
        <v>255.85</v>
      </c>
      <c r="M439" s="111"/>
      <c r="N439" s="111"/>
    </row>
    <row r="440" spans="2:14" ht="15.75">
      <c r="B440" s="106">
        <v>423</v>
      </c>
      <c r="C440" s="107">
        <v>37</v>
      </c>
      <c r="D440" s="108"/>
      <c r="E440" s="25"/>
      <c r="F440" s="25"/>
      <c r="G440" s="114" t="s">
        <v>473</v>
      </c>
      <c r="H440" s="112">
        <v>0.28999999999999998</v>
      </c>
      <c r="I440" s="110">
        <v>2</v>
      </c>
      <c r="J440" s="110">
        <v>7</v>
      </c>
      <c r="K440" s="110">
        <v>1</v>
      </c>
      <c r="L440" s="110">
        <f t="shared" si="25"/>
        <v>4.0599999999999996</v>
      </c>
      <c r="M440" s="111"/>
      <c r="N440" s="111"/>
    </row>
    <row r="441" spans="2:14" ht="15.75">
      <c r="B441" s="106">
        <v>424</v>
      </c>
      <c r="C441" s="107">
        <v>37</v>
      </c>
      <c r="D441" s="108"/>
      <c r="E441" s="25"/>
      <c r="F441" s="25"/>
      <c r="G441" s="112" t="s">
        <v>443</v>
      </c>
      <c r="H441" s="112">
        <v>8.33</v>
      </c>
      <c r="I441" s="110">
        <v>2</v>
      </c>
      <c r="J441" s="110">
        <v>1</v>
      </c>
      <c r="K441" s="110">
        <v>1</v>
      </c>
      <c r="L441" s="110">
        <f t="shared" si="25"/>
        <v>16.66</v>
      </c>
      <c r="M441" s="111"/>
      <c r="N441" s="111"/>
    </row>
    <row r="442" spans="2:14" ht="15.75">
      <c r="B442" s="106">
        <v>425</v>
      </c>
      <c r="C442" s="107">
        <v>37</v>
      </c>
      <c r="D442" s="108"/>
      <c r="E442" s="25"/>
      <c r="F442" s="25"/>
      <c r="G442" s="114" t="s">
        <v>474</v>
      </c>
      <c r="H442" s="112">
        <v>5.91</v>
      </c>
      <c r="I442" s="110">
        <v>2</v>
      </c>
      <c r="J442" s="110">
        <v>6</v>
      </c>
      <c r="K442" s="110">
        <v>1</v>
      </c>
      <c r="L442" s="110">
        <f t="shared" si="25"/>
        <v>70.92</v>
      </c>
      <c r="M442" s="111"/>
      <c r="N442" s="111"/>
    </row>
    <row r="443" spans="2:14" ht="15.75">
      <c r="B443" s="106">
        <v>426</v>
      </c>
      <c r="C443" s="107">
        <v>37</v>
      </c>
      <c r="D443" s="108"/>
      <c r="E443" s="25"/>
      <c r="F443" s="25"/>
      <c r="G443" s="114" t="s">
        <v>437</v>
      </c>
      <c r="H443" s="112">
        <f>23.5+0.41</f>
        <v>23.91</v>
      </c>
      <c r="I443" s="110">
        <v>1</v>
      </c>
      <c r="J443" s="110">
        <v>1</v>
      </c>
      <c r="K443" s="110">
        <v>1</v>
      </c>
      <c r="L443" s="110">
        <f t="shared" si="25"/>
        <v>23.91</v>
      </c>
      <c r="M443" s="111"/>
      <c r="N443" s="111"/>
    </row>
    <row r="444" spans="2:14" ht="15.75">
      <c r="B444" s="106">
        <v>427</v>
      </c>
      <c r="C444" s="107">
        <v>37</v>
      </c>
      <c r="D444" s="108"/>
      <c r="E444" s="25"/>
      <c r="F444" s="25"/>
      <c r="G444" s="114" t="s">
        <v>475</v>
      </c>
      <c r="H444" s="112">
        <v>0.59</v>
      </c>
      <c r="I444" s="110">
        <v>1</v>
      </c>
      <c r="J444" s="110">
        <v>4</v>
      </c>
      <c r="K444" s="110">
        <v>1</v>
      </c>
      <c r="L444" s="110">
        <f t="shared" si="25"/>
        <v>2.36</v>
      </c>
      <c r="M444" s="111"/>
      <c r="N444" s="111"/>
    </row>
    <row r="445" spans="2:14" ht="15.75">
      <c r="B445" s="106">
        <v>428</v>
      </c>
      <c r="C445" s="107">
        <v>37</v>
      </c>
      <c r="D445" s="108"/>
      <c r="E445" s="25"/>
      <c r="F445" s="25"/>
      <c r="G445" s="114" t="s">
        <v>476</v>
      </c>
      <c r="H445" s="112">
        <v>0.88</v>
      </c>
      <c r="I445" s="110">
        <v>1</v>
      </c>
      <c r="J445" s="110">
        <v>4</v>
      </c>
      <c r="K445" s="110">
        <v>1</v>
      </c>
      <c r="L445" s="110">
        <f t="shared" si="25"/>
        <v>3.52</v>
      </c>
      <c r="M445" s="111"/>
      <c r="N445" s="111"/>
    </row>
    <row r="446" spans="2:14" ht="15.75">
      <c r="B446" s="106">
        <v>429</v>
      </c>
      <c r="C446" s="107">
        <v>37</v>
      </c>
      <c r="D446" s="108"/>
      <c r="E446" s="25"/>
      <c r="F446" s="25"/>
      <c r="G446" s="114" t="s">
        <v>477</v>
      </c>
      <c r="H446" s="112">
        <v>166.67</v>
      </c>
      <c r="I446" s="110">
        <v>1</v>
      </c>
      <c r="J446" s="110">
        <v>1</v>
      </c>
      <c r="K446" s="110">
        <v>1</v>
      </c>
      <c r="L446" s="110">
        <f t="shared" si="25"/>
        <v>166.67</v>
      </c>
      <c r="M446" s="111"/>
      <c r="N446" s="111"/>
    </row>
    <row r="447" spans="2:14" ht="15.75">
      <c r="B447" s="106">
        <v>430</v>
      </c>
      <c r="C447" s="107">
        <v>37</v>
      </c>
      <c r="D447" s="108"/>
      <c r="E447" s="25"/>
      <c r="F447" s="25"/>
      <c r="G447" s="112" t="s">
        <v>444</v>
      </c>
      <c r="H447" s="112">
        <v>1.1100000000000001</v>
      </c>
      <c r="I447" s="110">
        <v>9</v>
      </c>
      <c r="J447" s="110">
        <v>1</v>
      </c>
      <c r="K447" s="110">
        <v>1</v>
      </c>
      <c r="L447" s="110">
        <f t="shared" si="25"/>
        <v>9.99</v>
      </c>
      <c r="M447" s="111"/>
      <c r="N447" s="111"/>
    </row>
    <row r="448" spans="2:14" ht="15.75">
      <c r="B448" s="106">
        <v>431</v>
      </c>
      <c r="C448" s="107">
        <v>37</v>
      </c>
      <c r="D448" s="108"/>
      <c r="E448" s="25"/>
      <c r="F448" s="25"/>
      <c r="G448" s="112" t="s">
        <v>445</v>
      </c>
      <c r="H448" s="112">
        <v>0.06</v>
      </c>
      <c r="I448" s="110">
        <v>18</v>
      </c>
      <c r="J448" s="110">
        <v>1</v>
      </c>
      <c r="K448" s="110">
        <v>1</v>
      </c>
      <c r="L448" s="110">
        <f t="shared" si="25"/>
        <v>1.08</v>
      </c>
      <c r="M448" s="111"/>
      <c r="N448" s="111"/>
    </row>
    <row r="449" spans="2:14" ht="15.75">
      <c r="B449" s="106">
        <v>432</v>
      </c>
      <c r="C449" s="107">
        <v>37</v>
      </c>
      <c r="D449" s="108"/>
      <c r="E449" s="25"/>
      <c r="F449" s="25"/>
      <c r="G449" s="112" t="s">
        <v>488</v>
      </c>
      <c r="H449" s="112">
        <v>166.67</v>
      </c>
      <c r="I449" s="110">
        <v>1</v>
      </c>
      <c r="J449" s="110">
        <v>1</v>
      </c>
      <c r="K449" s="110">
        <v>1</v>
      </c>
      <c r="L449" s="110">
        <f t="shared" si="25"/>
        <v>166.67</v>
      </c>
      <c r="M449" s="111"/>
      <c r="N449" s="111"/>
    </row>
    <row r="450" spans="2:14" s="138" customFormat="1" ht="63.75">
      <c r="B450" s="126">
        <v>433</v>
      </c>
      <c r="C450" s="127">
        <v>38</v>
      </c>
      <c r="D450" s="135" t="s">
        <v>194</v>
      </c>
      <c r="E450" s="129" t="s">
        <v>728</v>
      </c>
      <c r="F450" s="136" t="s">
        <v>729</v>
      </c>
      <c r="G450" s="131" t="s">
        <v>193</v>
      </c>
      <c r="H450" s="137" t="s">
        <v>671</v>
      </c>
      <c r="I450" s="131"/>
      <c r="J450" s="131"/>
      <c r="K450" s="131"/>
      <c r="L450" s="131">
        <f>SUM(L451:L452)</f>
        <v>1713.6</v>
      </c>
      <c r="M450" s="133">
        <v>8568</v>
      </c>
      <c r="N450" s="134">
        <v>5140.7999999999993</v>
      </c>
    </row>
    <row r="451" spans="2:14" ht="15.75">
      <c r="B451" s="106">
        <v>434</v>
      </c>
      <c r="C451" s="107">
        <v>38</v>
      </c>
      <c r="D451" s="108"/>
      <c r="E451" s="25"/>
      <c r="F451" s="25"/>
      <c r="G451" s="112" t="s">
        <v>553</v>
      </c>
      <c r="H451" s="112">
        <v>1.19</v>
      </c>
      <c r="I451" s="112">
        <v>50</v>
      </c>
      <c r="J451" s="112">
        <v>1</v>
      </c>
      <c r="K451" s="112">
        <v>12</v>
      </c>
      <c r="L451" s="110">
        <f t="shared" ref="L451:L456" si="26">H451*I451*J451*K451</f>
        <v>714</v>
      </c>
      <c r="M451" s="111"/>
      <c r="N451" s="111"/>
    </row>
    <row r="452" spans="2:14" ht="15.75">
      <c r="B452" s="106">
        <v>435</v>
      </c>
      <c r="C452" s="107">
        <v>38</v>
      </c>
      <c r="D452" s="108"/>
      <c r="E452" s="25"/>
      <c r="F452" s="25"/>
      <c r="G452" s="112" t="s">
        <v>554</v>
      </c>
      <c r="H452" s="112">
        <v>1.19</v>
      </c>
      <c r="I452" s="112">
        <v>70</v>
      </c>
      <c r="J452" s="112">
        <v>1</v>
      </c>
      <c r="K452" s="112">
        <v>12</v>
      </c>
      <c r="L452" s="110">
        <f t="shared" si="26"/>
        <v>999.59999999999991</v>
      </c>
      <c r="M452" s="111"/>
      <c r="N452" s="111"/>
    </row>
    <row r="453" spans="2:14" s="138" customFormat="1" ht="38.25">
      <c r="B453" s="126">
        <v>436</v>
      </c>
      <c r="C453" s="127">
        <v>39</v>
      </c>
      <c r="D453" s="135" t="s">
        <v>192</v>
      </c>
      <c r="E453" s="129" t="s">
        <v>191</v>
      </c>
      <c r="F453" s="136" t="s">
        <v>730</v>
      </c>
      <c r="G453" s="131" t="s">
        <v>191</v>
      </c>
      <c r="H453" s="137" t="s">
        <v>671</v>
      </c>
      <c r="I453" s="131"/>
      <c r="J453" s="131"/>
      <c r="K453" s="131"/>
      <c r="L453" s="131">
        <f>SUM(L454)</f>
        <v>400</v>
      </c>
      <c r="M453" s="133">
        <v>2000</v>
      </c>
      <c r="N453" s="134">
        <v>1200</v>
      </c>
    </row>
    <row r="454" spans="2:14" ht="24">
      <c r="B454" s="106">
        <v>437</v>
      </c>
      <c r="C454" s="107">
        <v>39</v>
      </c>
      <c r="D454" s="108"/>
      <c r="E454" s="25"/>
      <c r="F454" s="25"/>
      <c r="G454" s="112" t="s">
        <v>555</v>
      </c>
      <c r="H454" s="112">
        <v>5</v>
      </c>
      <c r="I454" s="112">
        <v>20</v>
      </c>
      <c r="J454" s="112">
        <v>4</v>
      </c>
      <c r="K454" s="112">
        <v>1</v>
      </c>
      <c r="L454" s="110">
        <f t="shared" si="26"/>
        <v>400</v>
      </c>
      <c r="M454" s="111"/>
      <c r="N454" s="111"/>
    </row>
    <row r="455" spans="2:14" s="138" customFormat="1" ht="51">
      <c r="B455" s="126">
        <v>438</v>
      </c>
      <c r="C455" s="127">
        <v>40</v>
      </c>
      <c r="D455" s="135" t="s">
        <v>190</v>
      </c>
      <c r="E455" s="129" t="s">
        <v>731</v>
      </c>
      <c r="F455" s="130" t="s">
        <v>732</v>
      </c>
      <c r="G455" s="131" t="s">
        <v>189</v>
      </c>
      <c r="H455" s="137" t="s">
        <v>671</v>
      </c>
      <c r="I455" s="131"/>
      <c r="J455" s="131"/>
      <c r="K455" s="131"/>
      <c r="L455" s="131">
        <f>SUM(L456)</f>
        <v>16084</v>
      </c>
      <c r="M455" s="133">
        <v>16084</v>
      </c>
      <c r="N455" s="134">
        <v>16084</v>
      </c>
    </row>
    <row r="456" spans="2:14" ht="15.75">
      <c r="B456" s="106">
        <v>439</v>
      </c>
      <c r="C456" s="107">
        <v>40</v>
      </c>
      <c r="D456" s="108"/>
      <c r="E456" s="25"/>
      <c r="F456" s="25"/>
      <c r="G456" s="112" t="s">
        <v>558</v>
      </c>
      <c r="H456" s="112">
        <v>16084</v>
      </c>
      <c r="I456" s="112">
        <v>1</v>
      </c>
      <c r="J456" s="112">
        <v>1</v>
      </c>
      <c r="K456" s="112">
        <v>1</v>
      </c>
      <c r="L456" s="110">
        <f t="shared" si="26"/>
        <v>16084</v>
      </c>
      <c r="M456" s="111"/>
      <c r="N456" s="111"/>
    </row>
    <row r="457" spans="2:14" s="138" customFormat="1" ht="63.75">
      <c r="B457" s="126">
        <v>440</v>
      </c>
      <c r="C457" s="127">
        <v>41</v>
      </c>
      <c r="D457" s="135" t="s">
        <v>188</v>
      </c>
      <c r="E457" s="129" t="s">
        <v>733</v>
      </c>
      <c r="F457" s="136" t="s">
        <v>734</v>
      </c>
      <c r="G457" s="131" t="s">
        <v>187</v>
      </c>
      <c r="H457" s="137" t="s">
        <v>671</v>
      </c>
      <c r="I457" s="131"/>
      <c r="J457" s="131"/>
      <c r="K457" s="131"/>
      <c r="L457" s="131">
        <f>SUM(L458:L474)</f>
        <v>5748.5</v>
      </c>
      <c r="M457" s="133">
        <v>28742.5</v>
      </c>
      <c r="N457" s="134">
        <v>17245.5</v>
      </c>
    </row>
    <row r="458" spans="2:14" ht="15.75">
      <c r="B458" s="106">
        <v>441</v>
      </c>
      <c r="C458" s="107">
        <v>41</v>
      </c>
      <c r="D458" s="108"/>
      <c r="E458" s="25"/>
      <c r="F458" s="25"/>
      <c r="G458" s="112" t="s">
        <v>453</v>
      </c>
      <c r="H458" s="112">
        <v>25</v>
      </c>
      <c r="I458" s="112">
        <v>2</v>
      </c>
      <c r="J458" s="112">
        <v>1</v>
      </c>
      <c r="K458" s="112">
        <v>3</v>
      </c>
      <c r="L458" s="110">
        <f>H458*I458*J458*K458</f>
        <v>150</v>
      </c>
      <c r="M458" s="111"/>
      <c r="N458" s="111"/>
    </row>
    <row r="459" spans="2:14" ht="15.75">
      <c r="B459" s="106">
        <v>442</v>
      </c>
      <c r="C459" s="107">
        <v>41</v>
      </c>
      <c r="D459" s="108"/>
      <c r="E459" s="25"/>
      <c r="F459" s="25"/>
      <c r="G459" s="112" t="s">
        <v>462</v>
      </c>
      <c r="H459" s="112">
        <v>25</v>
      </c>
      <c r="I459" s="112">
        <v>1</v>
      </c>
      <c r="J459" s="112">
        <v>1</v>
      </c>
      <c r="K459" s="112">
        <v>3</v>
      </c>
      <c r="L459" s="110">
        <f t="shared" ref="L459:L474" si="27">H459*I459*J459*K459</f>
        <v>75</v>
      </c>
      <c r="M459" s="111"/>
      <c r="N459" s="111"/>
    </row>
    <row r="460" spans="2:14" ht="15.75">
      <c r="B460" s="106">
        <v>443</v>
      </c>
      <c r="C460" s="107">
        <v>41</v>
      </c>
      <c r="D460" s="108"/>
      <c r="E460" s="25"/>
      <c r="F460" s="25"/>
      <c r="G460" s="112" t="s">
        <v>429</v>
      </c>
      <c r="H460" s="112">
        <v>4</v>
      </c>
      <c r="I460" s="112">
        <v>17</v>
      </c>
      <c r="J460" s="112">
        <v>1</v>
      </c>
      <c r="K460" s="112">
        <v>3</v>
      </c>
      <c r="L460" s="110">
        <f t="shared" si="27"/>
        <v>204</v>
      </c>
      <c r="M460" s="111"/>
      <c r="N460" s="111"/>
    </row>
    <row r="461" spans="2:14" ht="15.75">
      <c r="B461" s="106">
        <v>444</v>
      </c>
      <c r="C461" s="107">
        <v>41</v>
      </c>
      <c r="D461" s="108"/>
      <c r="E461" s="25"/>
      <c r="F461" s="25"/>
      <c r="G461" s="112" t="s">
        <v>430</v>
      </c>
      <c r="H461" s="112">
        <v>8</v>
      </c>
      <c r="I461" s="112">
        <v>17</v>
      </c>
      <c r="J461" s="112">
        <v>1</v>
      </c>
      <c r="K461" s="112">
        <v>3</v>
      </c>
      <c r="L461" s="110">
        <f t="shared" si="27"/>
        <v>408</v>
      </c>
      <c r="M461" s="111"/>
      <c r="N461" s="111"/>
    </row>
    <row r="462" spans="2:14" ht="24">
      <c r="B462" s="106">
        <v>445</v>
      </c>
      <c r="C462" s="107">
        <v>41</v>
      </c>
      <c r="D462" s="108"/>
      <c r="E462" s="25"/>
      <c r="F462" s="25"/>
      <c r="G462" s="112" t="s">
        <v>431</v>
      </c>
      <c r="H462" s="112">
        <v>10</v>
      </c>
      <c r="I462" s="112">
        <v>14</v>
      </c>
      <c r="J462" s="112">
        <v>1</v>
      </c>
      <c r="K462" s="112">
        <v>3</v>
      </c>
      <c r="L462" s="110">
        <f t="shared" si="27"/>
        <v>420</v>
      </c>
      <c r="M462" s="111"/>
      <c r="N462" s="111"/>
    </row>
    <row r="463" spans="2:14" ht="15.75">
      <c r="B463" s="106">
        <v>446</v>
      </c>
      <c r="C463" s="107">
        <v>41</v>
      </c>
      <c r="D463" s="108"/>
      <c r="E463" s="25"/>
      <c r="F463" s="25"/>
      <c r="G463" s="112" t="s">
        <v>432</v>
      </c>
      <c r="H463" s="112">
        <v>8</v>
      </c>
      <c r="I463" s="112">
        <v>1</v>
      </c>
      <c r="J463" s="112">
        <v>1</v>
      </c>
      <c r="K463" s="112">
        <v>3</v>
      </c>
      <c r="L463" s="110">
        <f t="shared" si="27"/>
        <v>24</v>
      </c>
      <c r="M463" s="111"/>
      <c r="N463" s="111"/>
    </row>
    <row r="464" spans="2:14" ht="15.75">
      <c r="B464" s="106">
        <v>447</v>
      </c>
      <c r="C464" s="107">
        <v>41</v>
      </c>
      <c r="D464" s="108"/>
      <c r="E464" s="25"/>
      <c r="F464" s="25"/>
      <c r="G464" s="112" t="s">
        <v>491</v>
      </c>
      <c r="H464" s="112">
        <v>10</v>
      </c>
      <c r="I464" s="112">
        <v>1</v>
      </c>
      <c r="J464" s="112">
        <v>1</v>
      </c>
      <c r="K464" s="112">
        <v>3</v>
      </c>
      <c r="L464" s="110">
        <f t="shared" si="27"/>
        <v>30</v>
      </c>
      <c r="M464" s="111"/>
      <c r="N464" s="111"/>
    </row>
    <row r="465" spans="2:14" ht="24">
      <c r="B465" s="106">
        <v>448</v>
      </c>
      <c r="C465" s="107">
        <v>41</v>
      </c>
      <c r="D465" s="108"/>
      <c r="E465" s="25"/>
      <c r="F465" s="25"/>
      <c r="G465" s="112" t="s">
        <v>481</v>
      </c>
      <c r="H465" s="112">
        <v>135</v>
      </c>
      <c r="I465" s="112">
        <v>1</v>
      </c>
      <c r="J465" s="112">
        <v>1</v>
      </c>
      <c r="K465" s="112">
        <v>5</v>
      </c>
      <c r="L465" s="110">
        <f t="shared" si="27"/>
        <v>675</v>
      </c>
      <c r="M465" s="111"/>
      <c r="N465" s="111"/>
    </row>
    <row r="466" spans="2:14" ht="15.75">
      <c r="B466" s="106">
        <v>449</v>
      </c>
      <c r="C466" s="107">
        <v>41</v>
      </c>
      <c r="D466" s="108"/>
      <c r="E466" s="25"/>
      <c r="F466" s="25"/>
      <c r="G466" s="112" t="s">
        <v>434</v>
      </c>
      <c r="H466" s="112">
        <v>10</v>
      </c>
      <c r="I466" s="112">
        <v>15</v>
      </c>
      <c r="J466" s="112">
        <v>1</v>
      </c>
      <c r="K466" s="112">
        <v>1</v>
      </c>
      <c r="L466" s="110">
        <f t="shared" si="27"/>
        <v>150</v>
      </c>
      <c r="M466" s="111"/>
      <c r="N466" s="111"/>
    </row>
    <row r="467" spans="2:14" ht="15.75">
      <c r="B467" s="106">
        <v>450</v>
      </c>
      <c r="C467" s="107">
        <v>41</v>
      </c>
      <c r="D467" s="108"/>
      <c r="E467" s="25"/>
      <c r="F467" s="25"/>
      <c r="G467" s="112" t="s">
        <v>455</v>
      </c>
      <c r="H467" s="112">
        <v>260</v>
      </c>
      <c r="I467" s="112">
        <v>1</v>
      </c>
      <c r="J467" s="112">
        <v>1</v>
      </c>
      <c r="K467" s="112">
        <v>1</v>
      </c>
      <c r="L467" s="110">
        <f t="shared" si="27"/>
        <v>260</v>
      </c>
      <c r="M467" s="111"/>
      <c r="N467" s="111"/>
    </row>
    <row r="468" spans="2:14" ht="15.75">
      <c r="B468" s="106">
        <v>451</v>
      </c>
      <c r="C468" s="107">
        <v>41</v>
      </c>
      <c r="D468" s="108"/>
      <c r="E468" s="25"/>
      <c r="F468" s="25"/>
      <c r="G468" s="112" t="s">
        <v>435</v>
      </c>
      <c r="H468" s="112">
        <v>70</v>
      </c>
      <c r="I468" s="112">
        <v>1</v>
      </c>
      <c r="J468" s="112">
        <v>1</v>
      </c>
      <c r="K468" s="112">
        <v>3</v>
      </c>
      <c r="L468" s="110">
        <f t="shared" si="27"/>
        <v>210</v>
      </c>
      <c r="M468" s="111"/>
      <c r="N468" s="111"/>
    </row>
    <row r="469" spans="2:14" ht="15.75">
      <c r="B469" s="106">
        <v>452</v>
      </c>
      <c r="C469" s="107">
        <v>41</v>
      </c>
      <c r="D469" s="108"/>
      <c r="E469" s="25"/>
      <c r="F469" s="25"/>
      <c r="G469" s="112" t="s">
        <v>447</v>
      </c>
      <c r="H469" s="112">
        <v>1.19</v>
      </c>
      <c r="I469" s="112">
        <v>10</v>
      </c>
      <c r="J469" s="112">
        <v>1</v>
      </c>
      <c r="K469" s="112">
        <v>3</v>
      </c>
      <c r="L469" s="110">
        <f t="shared" si="27"/>
        <v>35.699999999999996</v>
      </c>
      <c r="M469" s="111"/>
      <c r="N469" s="111"/>
    </row>
    <row r="470" spans="2:14" ht="15.75">
      <c r="B470" s="106">
        <v>453</v>
      </c>
      <c r="C470" s="107">
        <v>41</v>
      </c>
      <c r="D470" s="108"/>
      <c r="E470" s="25"/>
      <c r="F470" s="25"/>
      <c r="G470" s="112" t="s">
        <v>559</v>
      </c>
      <c r="H470" s="112">
        <v>60</v>
      </c>
      <c r="I470" s="112">
        <v>15</v>
      </c>
      <c r="J470" s="112">
        <v>1</v>
      </c>
      <c r="K470" s="112">
        <v>3</v>
      </c>
      <c r="L470" s="110">
        <f t="shared" si="27"/>
        <v>2700</v>
      </c>
      <c r="M470" s="111"/>
      <c r="N470" s="111"/>
    </row>
    <row r="471" spans="2:14" ht="15.75">
      <c r="B471" s="106">
        <v>454</v>
      </c>
      <c r="C471" s="107">
        <v>41</v>
      </c>
      <c r="D471" s="108"/>
      <c r="E471" s="25"/>
      <c r="F471" s="25"/>
      <c r="G471" s="112" t="s">
        <v>443</v>
      </c>
      <c r="H471" s="112">
        <v>8.33</v>
      </c>
      <c r="I471" s="112">
        <v>7</v>
      </c>
      <c r="J471" s="112">
        <v>1</v>
      </c>
      <c r="K471" s="112">
        <v>1</v>
      </c>
      <c r="L471" s="110">
        <f t="shared" si="27"/>
        <v>58.31</v>
      </c>
      <c r="M471" s="111"/>
      <c r="N471" s="111"/>
    </row>
    <row r="472" spans="2:14" ht="15.75">
      <c r="B472" s="106">
        <v>455</v>
      </c>
      <c r="C472" s="107">
        <v>41</v>
      </c>
      <c r="D472" s="108"/>
      <c r="E472" s="25"/>
      <c r="F472" s="25"/>
      <c r="G472" s="112" t="s">
        <v>444</v>
      </c>
      <c r="H472" s="112">
        <v>1.1100000000000001</v>
      </c>
      <c r="I472" s="110">
        <v>35</v>
      </c>
      <c r="J472" s="112">
        <v>1</v>
      </c>
      <c r="K472" s="112">
        <v>1</v>
      </c>
      <c r="L472" s="110">
        <f t="shared" si="27"/>
        <v>38.85</v>
      </c>
      <c r="M472" s="111"/>
      <c r="N472" s="111"/>
    </row>
    <row r="473" spans="2:14" ht="15.75">
      <c r="B473" s="106">
        <v>456</v>
      </c>
      <c r="C473" s="107">
        <v>41</v>
      </c>
      <c r="D473" s="108"/>
      <c r="E473" s="25"/>
      <c r="F473" s="25"/>
      <c r="G473" s="112" t="s">
        <v>560</v>
      </c>
      <c r="H473" s="112">
        <v>0.06</v>
      </c>
      <c r="I473" s="110">
        <v>70</v>
      </c>
      <c r="J473" s="112">
        <v>1</v>
      </c>
      <c r="K473" s="112">
        <v>1</v>
      </c>
      <c r="L473" s="110">
        <f t="shared" si="27"/>
        <v>4.2</v>
      </c>
      <c r="M473" s="111"/>
      <c r="N473" s="111"/>
    </row>
    <row r="474" spans="2:14" ht="15.75">
      <c r="B474" s="106">
        <v>457</v>
      </c>
      <c r="C474" s="107">
        <v>41</v>
      </c>
      <c r="D474" s="108"/>
      <c r="E474" s="25"/>
      <c r="F474" s="25"/>
      <c r="G474" s="112" t="s">
        <v>488</v>
      </c>
      <c r="H474" s="112">
        <f>305.56-0.12</f>
        <v>305.44</v>
      </c>
      <c r="I474" s="112">
        <v>1</v>
      </c>
      <c r="J474" s="112">
        <v>1</v>
      </c>
      <c r="K474" s="112">
        <v>1</v>
      </c>
      <c r="L474" s="110">
        <f t="shared" si="27"/>
        <v>305.44</v>
      </c>
      <c r="M474" s="111"/>
      <c r="N474" s="111"/>
    </row>
    <row r="475" spans="2:14" s="138" customFormat="1" ht="63.75">
      <c r="B475" s="126">
        <v>458</v>
      </c>
      <c r="C475" s="127">
        <v>42</v>
      </c>
      <c r="D475" s="135" t="s">
        <v>186</v>
      </c>
      <c r="E475" s="129" t="s">
        <v>735</v>
      </c>
      <c r="F475" s="136" t="s">
        <v>736</v>
      </c>
      <c r="G475" s="131" t="s">
        <v>185</v>
      </c>
      <c r="H475" s="137" t="s">
        <v>671</v>
      </c>
      <c r="I475" s="131"/>
      <c r="J475" s="131"/>
      <c r="K475" s="131"/>
      <c r="L475" s="131">
        <f>SUM(L476:L490)</f>
        <v>4411.3900000000003</v>
      </c>
      <c r="M475" s="133">
        <v>4411.3900000000003</v>
      </c>
      <c r="N475" s="134">
        <v>4411.3900000000003</v>
      </c>
    </row>
    <row r="476" spans="2:14" ht="15.75">
      <c r="B476" s="106">
        <v>459</v>
      </c>
      <c r="C476" s="107">
        <v>42</v>
      </c>
      <c r="D476" s="108"/>
      <c r="E476" s="25"/>
      <c r="F476" s="25"/>
      <c r="G476" s="112" t="s">
        <v>453</v>
      </c>
      <c r="H476" s="112">
        <v>25</v>
      </c>
      <c r="I476" s="110">
        <v>2</v>
      </c>
      <c r="J476" s="110">
        <v>1</v>
      </c>
      <c r="K476" s="112">
        <v>5</v>
      </c>
      <c r="L476" s="110">
        <f>H476*I476*J476*K476</f>
        <v>250</v>
      </c>
      <c r="M476" s="111"/>
      <c r="N476" s="111"/>
    </row>
    <row r="477" spans="2:14" ht="15.75">
      <c r="B477" s="106">
        <v>460</v>
      </c>
      <c r="C477" s="107">
        <v>42</v>
      </c>
      <c r="D477" s="108"/>
      <c r="E477" s="25"/>
      <c r="F477" s="25"/>
      <c r="G477" s="112" t="s">
        <v>462</v>
      </c>
      <c r="H477" s="112">
        <v>25</v>
      </c>
      <c r="I477" s="110">
        <v>1</v>
      </c>
      <c r="J477" s="110">
        <v>1</v>
      </c>
      <c r="K477" s="112">
        <v>5</v>
      </c>
      <c r="L477" s="110">
        <f t="shared" ref="L477:L490" si="28">H477*I477*J477*K477</f>
        <v>125</v>
      </c>
      <c r="M477" s="111"/>
      <c r="N477" s="111"/>
    </row>
    <row r="478" spans="2:14" ht="15.75">
      <c r="B478" s="106">
        <v>461</v>
      </c>
      <c r="C478" s="107">
        <v>42</v>
      </c>
      <c r="D478" s="108"/>
      <c r="E478" s="25"/>
      <c r="F478" s="25"/>
      <c r="G478" s="112" t="s">
        <v>568</v>
      </c>
      <c r="H478" s="112">
        <v>4</v>
      </c>
      <c r="I478" s="110">
        <v>18</v>
      </c>
      <c r="J478" s="110">
        <v>1</v>
      </c>
      <c r="K478" s="112">
        <v>5</v>
      </c>
      <c r="L478" s="110">
        <f t="shared" si="28"/>
        <v>360</v>
      </c>
      <c r="M478" s="111"/>
      <c r="N478" s="111"/>
    </row>
    <row r="479" spans="2:14" ht="15.75">
      <c r="B479" s="106">
        <v>462</v>
      </c>
      <c r="C479" s="107">
        <v>42</v>
      </c>
      <c r="D479" s="108"/>
      <c r="E479" s="25"/>
      <c r="F479" s="25"/>
      <c r="G479" s="112" t="s">
        <v>569</v>
      </c>
      <c r="H479" s="112">
        <v>8</v>
      </c>
      <c r="I479" s="110">
        <v>18</v>
      </c>
      <c r="J479" s="110">
        <v>1</v>
      </c>
      <c r="K479" s="112">
        <v>5</v>
      </c>
      <c r="L479" s="110">
        <f t="shared" si="28"/>
        <v>720</v>
      </c>
      <c r="M479" s="111"/>
      <c r="N479" s="111"/>
    </row>
    <row r="480" spans="2:14" ht="24">
      <c r="B480" s="106">
        <v>463</v>
      </c>
      <c r="C480" s="107">
        <v>42</v>
      </c>
      <c r="D480" s="108"/>
      <c r="E480" s="25"/>
      <c r="F480" s="25"/>
      <c r="G480" s="112" t="s">
        <v>570</v>
      </c>
      <c r="H480" s="112">
        <v>10</v>
      </c>
      <c r="I480" s="110">
        <v>15</v>
      </c>
      <c r="J480" s="110">
        <v>1</v>
      </c>
      <c r="K480" s="112">
        <v>5</v>
      </c>
      <c r="L480" s="110">
        <f t="shared" si="28"/>
        <v>750</v>
      </c>
      <c r="M480" s="111"/>
      <c r="N480" s="111"/>
    </row>
    <row r="481" spans="2:14" ht="15.75">
      <c r="B481" s="106">
        <v>464</v>
      </c>
      <c r="C481" s="107">
        <v>42</v>
      </c>
      <c r="D481" s="108"/>
      <c r="E481" s="25"/>
      <c r="F481" s="25"/>
      <c r="G481" s="112" t="s">
        <v>432</v>
      </c>
      <c r="H481" s="112">
        <v>8</v>
      </c>
      <c r="I481" s="110">
        <v>1</v>
      </c>
      <c r="J481" s="110">
        <v>1</v>
      </c>
      <c r="K481" s="112">
        <v>5</v>
      </c>
      <c r="L481" s="110">
        <f t="shared" si="28"/>
        <v>40</v>
      </c>
      <c r="M481" s="111"/>
      <c r="N481" s="111"/>
    </row>
    <row r="482" spans="2:14" ht="15.75">
      <c r="B482" s="106">
        <v>465</v>
      </c>
      <c r="C482" s="107">
        <v>42</v>
      </c>
      <c r="D482" s="108"/>
      <c r="E482" s="25"/>
      <c r="F482" s="25"/>
      <c r="G482" s="112" t="s">
        <v>463</v>
      </c>
      <c r="H482" s="112">
        <v>119</v>
      </c>
      <c r="I482" s="110">
        <v>1</v>
      </c>
      <c r="J482" s="110">
        <v>1</v>
      </c>
      <c r="K482" s="112">
        <v>7</v>
      </c>
      <c r="L482" s="110">
        <f t="shared" si="28"/>
        <v>833</v>
      </c>
      <c r="M482" s="111"/>
      <c r="N482" s="111"/>
    </row>
    <row r="483" spans="2:14" ht="15.75">
      <c r="B483" s="106">
        <v>466</v>
      </c>
      <c r="C483" s="107">
        <v>42</v>
      </c>
      <c r="D483" s="108"/>
      <c r="E483" s="25"/>
      <c r="F483" s="25"/>
      <c r="G483" s="112" t="s">
        <v>434</v>
      </c>
      <c r="H483" s="112">
        <v>10</v>
      </c>
      <c r="I483" s="110">
        <v>15</v>
      </c>
      <c r="J483" s="110">
        <v>1</v>
      </c>
      <c r="K483" s="112">
        <v>1</v>
      </c>
      <c r="L483" s="110">
        <f t="shared" si="28"/>
        <v>150</v>
      </c>
      <c r="M483" s="111"/>
      <c r="N483" s="111"/>
    </row>
    <row r="484" spans="2:14" ht="15.75">
      <c r="B484" s="106">
        <v>467</v>
      </c>
      <c r="C484" s="107">
        <v>42</v>
      </c>
      <c r="D484" s="108"/>
      <c r="E484" s="25"/>
      <c r="F484" s="25"/>
      <c r="G484" s="112" t="s">
        <v>455</v>
      </c>
      <c r="H484" s="112">
        <v>260</v>
      </c>
      <c r="I484" s="110">
        <v>1</v>
      </c>
      <c r="J484" s="110">
        <v>1</v>
      </c>
      <c r="K484" s="112">
        <v>1</v>
      </c>
      <c r="L484" s="110">
        <f t="shared" si="28"/>
        <v>260</v>
      </c>
      <c r="M484" s="111"/>
      <c r="N484" s="111"/>
    </row>
    <row r="485" spans="2:14" ht="15.75">
      <c r="B485" s="106">
        <v>468</v>
      </c>
      <c r="C485" s="107">
        <v>42</v>
      </c>
      <c r="D485" s="108"/>
      <c r="E485" s="25"/>
      <c r="F485" s="25"/>
      <c r="G485" s="112" t="s">
        <v>435</v>
      </c>
      <c r="H485" s="112">
        <v>70</v>
      </c>
      <c r="I485" s="110">
        <v>1</v>
      </c>
      <c r="J485" s="110">
        <v>1</v>
      </c>
      <c r="K485" s="112">
        <v>5</v>
      </c>
      <c r="L485" s="110">
        <f t="shared" si="28"/>
        <v>350</v>
      </c>
      <c r="M485" s="111"/>
      <c r="N485" s="111"/>
    </row>
    <row r="486" spans="2:14" ht="15.75">
      <c r="B486" s="106">
        <v>469</v>
      </c>
      <c r="C486" s="107">
        <v>42</v>
      </c>
      <c r="D486" s="108"/>
      <c r="E486" s="25"/>
      <c r="F486" s="25"/>
      <c r="G486" s="112" t="s">
        <v>443</v>
      </c>
      <c r="H486" s="112">
        <v>8.33</v>
      </c>
      <c r="I486" s="110">
        <v>3</v>
      </c>
      <c r="J486" s="110">
        <v>1</v>
      </c>
      <c r="K486" s="112">
        <v>1</v>
      </c>
      <c r="L486" s="110">
        <f t="shared" si="28"/>
        <v>24.990000000000002</v>
      </c>
      <c r="M486" s="111"/>
      <c r="N486" s="111"/>
    </row>
    <row r="487" spans="2:14" ht="15.75">
      <c r="B487" s="106">
        <v>470</v>
      </c>
      <c r="C487" s="107">
        <v>42</v>
      </c>
      <c r="D487" s="108"/>
      <c r="E487" s="25"/>
      <c r="F487" s="25"/>
      <c r="G487" s="112" t="s">
        <v>464</v>
      </c>
      <c r="H487" s="112">
        <v>305.56</v>
      </c>
      <c r="I487" s="112">
        <v>1</v>
      </c>
      <c r="J487" s="110">
        <v>1</v>
      </c>
      <c r="K487" s="112">
        <v>1</v>
      </c>
      <c r="L487" s="110">
        <f t="shared" si="28"/>
        <v>305.56</v>
      </c>
      <c r="M487" s="111"/>
      <c r="N487" s="111"/>
    </row>
    <row r="488" spans="2:14" ht="15.75">
      <c r="B488" s="106">
        <v>471</v>
      </c>
      <c r="C488" s="107">
        <v>42</v>
      </c>
      <c r="D488" s="108"/>
      <c r="E488" s="25"/>
      <c r="F488" s="25"/>
      <c r="G488" s="112" t="s">
        <v>465</v>
      </c>
      <c r="H488" s="112">
        <v>166.67</v>
      </c>
      <c r="I488" s="112">
        <v>1</v>
      </c>
      <c r="J488" s="110">
        <v>1</v>
      </c>
      <c r="K488" s="112">
        <v>1</v>
      </c>
      <c r="L488" s="110">
        <f t="shared" si="28"/>
        <v>166.67</v>
      </c>
      <c r="M488" s="111"/>
      <c r="N488" s="111"/>
    </row>
    <row r="489" spans="2:14" ht="15.75">
      <c r="B489" s="106">
        <v>472</v>
      </c>
      <c r="C489" s="107">
        <v>42</v>
      </c>
      <c r="D489" s="108"/>
      <c r="E489" s="25"/>
      <c r="F489" s="25"/>
      <c r="G489" s="112" t="s">
        <v>447</v>
      </c>
      <c r="H489" s="112">
        <v>1.19</v>
      </c>
      <c r="I489" s="112">
        <v>10</v>
      </c>
      <c r="J489" s="110">
        <v>1</v>
      </c>
      <c r="K489" s="112">
        <v>5</v>
      </c>
      <c r="L489" s="110">
        <f t="shared" si="28"/>
        <v>59.499999999999993</v>
      </c>
      <c r="M489" s="111"/>
      <c r="N489" s="111"/>
    </row>
    <row r="490" spans="2:14" ht="15.75">
      <c r="B490" s="106">
        <v>473</v>
      </c>
      <c r="C490" s="107">
        <v>42</v>
      </c>
      <c r="D490" s="108"/>
      <c r="E490" s="25"/>
      <c r="F490" s="25"/>
      <c r="G490" s="112" t="s">
        <v>459</v>
      </c>
      <c r="H490" s="112">
        <v>16.670000000000002</v>
      </c>
      <c r="I490" s="112">
        <v>1</v>
      </c>
      <c r="J490" s="110">
        <v>1</v>
      </c>
      <c r="K490" s="112">
        <v>1</v>
      </c>
      <c r="L490" s="110">
        <f t="shared" si="28"/>
        <v>16.670000000000002</v>
      </c>
      <c r="M490" s="111"/>
      <c r="N490" s="111"/>
    </row>
    <row r="491" spans="2:14" s="138" customFormat="1" ht="38.25">
      <c r="B491" s="126">
        <v>474</v>
      </c>
      <c r="C491" s="127">
        <v>43</v>
      </c>
      <c r="D491" s="146" t="s">
        <v>183</v>
      </c>
      <c r="E491" s="147" t="s">
        <v>182</v>
      </c>
      <c r="F491" s="136" t="s">
        <v>737</v>
      </c>
      <c r="G491" s="131" t="s">
        <v>590</v>
      </c>
      <c r="H491" s="137" t="s">
        <v>671</v>
      </c>
      <c r="I491" s="131"/>
      <c r="J491" s="131"/>
      <c r="K491" s="131"/>
      <c r="L491" s="131">
        <f>SUM(L492:L493)</f>
        <v>8700</v>
      </c>
      <c r="M491" s="133">
        <v>42300</v>
      </c>
      <c r="N491" s="134">
        <v>25500</v>
      </c>
    </row>
    <row r="492" spans="2:14" ht="15.75">
      <c r="B492" s="106">
        <v>475</v>
      </c>
      <c r="C492" s="107">
        <v>43</v>
      </c>
      <c r="D492" s="108"/>
      <c r="E492" s="25"/>
      <c r="F492" s="25"/>
      <c r="G492" s="112" t="s">
        <v>591</v>
      </c>
      <c r="H492" s="112">
        <v>300</v>
      </c>
      <c r="I492" s="110">
        <v>1</v>
      </c>
      <c r="J492" s="110">
        <v>1</v>
      </c>
      <c r="K492" s="110">
        <v>1</v>
      </c>
      <c r="L492" s="110">
        <f>H492*I492*J492*K492</f>
        <v>300</v>
      </c>
      <c r="M492" s="111"/>
      <c r="N492" s="111"/>
    </row>
    <row r="493" spans="2:14" ht="15.75">
      <c r="B493" s="106">
        <v>476</v>
      </c>
      <c r="C493" s="107">
        <v>43</v>
      </c>
      <c r="D493" s="108"/>
      <c r="E493" s="25"/>
      <c r="F493" s="25"/>
      <c r="G493" s="112" t="s">
        <v>592</v>
      </c>
      <c r="H493" s="112">
        <v>700</v>
      </c>
      <c r="I493" s="110">
        <v>1</v>
      </c>
      <c r="J493" s="110">
        <v>1</v>
      </c>
      <c r="K493" s="110">
        <v>12</v>
      </c>
      <c r="L493" s="110">
        <f>H493*I493*J493*K493</f>
        <v>8400</v>
      </c>
      <c r="M493" s="111"/>
      <c r="N493" s="111"/>
    </row>
    <row r="494" spans="2:14" s="138" customFormat="1" ht="63.75">
      <c r="B494" s="126">
        <v>477</v>
      </c>
      <c r="C494" s="127">
        <v>44</v>
      </c>
      <c r="D494" s="135" t="s">
        <v>180</v>
      </c>
      <c r="E494" s="129" t="s">
        <v>181</v>
      </c>
      <c r="F494" s="136" t="s">
        <v>738</v>
      </c>
      <c r="G494" s="131" t="s">
        <v>644</v>
      </c>
      <c r="H494" s="137" t="s">
        <v>671</v>
      </c>
      <c r="I494" s="131"/>
      <c r="J494" s="131"/>
      <c r="K494" s="131"/>
      <c r="L494" s="131">
        <f>SUM(L495:L503)</f>
        <v>3356.39</v>
      </c>
      <c r="M494" s="133">
        <v>3356.39</v>
      </c>
      <c r="N494" s="134">
        <v>3356.39</v>
      </c>
    </row>
    <row r="495" spans="2:14" ht="15.75">
      <c r="B495" s="106">
        <v>478</v>
      </c>
      <c r="C495" s="107">
        <v>44</v>
      </c>
      <c r="D495" s="108"/>
      <c r="E495" s="25"/>
      <c r="F495" s="25"/>
      <c r="G495" s="112" t="s">
        <v>453</v>
      </c>
      <c r="H495" s="112">
        <v>25</v>
      </c>
      <c r="I495" s="110">
        <v>2</v>
      </c>
      <c r="J495" s="110">
        <v>1</v>
      </c>
      <c r="K495" s="112">
        <v>5</v>
      </c>
      <c r="L495" s="110">
        <f>H495*I495*J495*K495</f>
        <v>250</v>
      </c>
      <c r="M495" s="111"/>
      <c r="N495" s="111"/>
    </row>
    <row r="496" spans="2:14" ht="15.75">
      <c r="B496" s="106">
        <v>479</v>
      </c>
      <c r="C496" s="107">
        <v>44</v>
      </c>
      <c r="D496" s="108"/>
      <c r="E496" s="25"/>
      <c r="F496" s="25"/>
      <c r="G496" s="112" t="s">
        <v>429</v>
      </c>
      <c r="H496" s="112">
        <v>4</v>
      </c>
      <c r="I496" s="110">
        <v>24</v>
      </c>
      <c r="J496" s="110">
        <v>1</v>
      </c>
      <c r="K496" s="112">
        <v>5</v>
      </c>
      <c r="L496" s="110">
        <f t="shared" ref="L496:L502" si="29">H496*I496*J496*K496</f>
        <v>480</v>
      </c>
      <c r="M496" s="111"/>
      <c r="N496" s="111"/>
    </row>
    <row r="497" spans="2:14" ht="15.75">
      <c r="B497" s="106">
        <v>480</v>
      </c>
      <c r="C497" s="107">
        <v>44</v>
      </c>
      <c r="D497" s="108"/>
      <c r="E497" s="25"/>
      <c r="F497" s="25"/>
      <c r="G497" s="112" t="s">
        <v>430</v>
      </c>
      <c r="H497" s="112">
        <v>8</v>
      </c>
      <c r="I497" s="110">
        <v>24</v>
      </c>
      <c r="J497" s="110">
        <v>1</v>
      </c>
      <c r="K497" s="112">
        <v>5</v>
      </c>
      <c r="L497" s="110">
        <f t="shared" si="29"/>
        <v>960</v>
      </c>
      <c r="M497" s="111"/>
      <c r="N497" s="111"/>
    </row>
    <row r="498" spans="2:14" ht="24">
      <c r="B498" s="106">
        <v>481</v>
      </c>
      <c r="C498" s="107">
        <v>44</v>
      </c>
      <c r="D498" s="108"/>
      <c r="E498" s="25"/>
      <c r="F498" s="25"/>
      <c r="G498" s="112" t="s">
        <v>431</v>
      </c>
      <c r="H498" s="112">
        <v>10</v>
      </c>
      <c r="I498" s="110">
        <v>20</v>
      </c>
      <c r="J498" s="110">
        <v>1</v>
      </c>
      <c r="K498" s="112">
        <v>5</v>
      </c>
      <c r="L498" s="110">
        <f t="shared" si="29"/>
        <v>1000</v>
      </c>
      <c r="M498" s="111"/>
      <c r="N498" s="111"/>
    </row>
    <row r="499" spans="2:14" ht="15.75">
      <c r="B499" s="106">
        <v>482</v>
      </c>
      <c r="C499" s="107">
        <v>44</v>
      </c>
      <c r="D499" s="108"/>
      <c r="E499" s="25"/>
      <c r="F499" s="25"/>
      <c r="G499" s="112" t="s">
        <v>432</v>
      </c>
      <c r="H499" s="112">
        <v>8</v>
      </c>
      <c r="I499" s="110">
        <v>1</v>
      </c>
      <c r="J499" s="110">
        <v>1</v>
      </c>
      <c r="K499" s="112">
        <v>5</v>
      </c>
      <c r="L499" s="110">
        <f t="shared" si="29"/>
        <v>40</v>
      </c>
      <c r="M499" s="111"/>
      <c r="N499" s="111"/>
    </row>
    <row r="500" spans="2:14" ht="15.75">
      <c r="B500" s="106">
        <v>483</v>
      </c>
      <c r="C500" s="107">
        <v>44</v>
      </c>
      <c r="D500" s="108"/>
      <c r="E500" s="25"/>
      <c r="F500" s="25"/>
      <c r="G500" s="112" t="s">
        <v>434</v>
      </c>
      <c r="H500" s="112">
        <v>10</v>
      </c>
      <c r="I500" s="110">
        <v>20</v>
      </c>
      <c r="J500" s="110">
        <v>1</v>
      </c>
      <c r="K500" s="112">
        <v>1</v>
      </c>
      <c r="L500" s="110">
        <f t="shared" si="29"/>
        <v>200</v>
      </c>
      <c r="M500" s="111"/>
      <c r="N500" s="111"/>
    </row>
    <row r="501" spans="2:14" ht="15.75">
      <c r="B501" s="106">
        <v>484</v>
      </c>
      <c r="C501" s="107">
        <v>44</v>
      </c>
      <c r="D501" s="108"/>
      <c r="E501" s="25"/>
      <c r="F501" s="25"/>
      <c r="G501" s="112" t="s">
        <v>435</v>
      </c>
      <c r="H501" s="112">
        <v>70</v>
      </c>
      <c r="I501" s="110">
        <v>1</v>
      </c>
      <c r="J501" s="110">
        <v>1</v>
      </c>
      <c r="K501" s="112">
        <v>5</v>
      </c>
      <c r="L501" s="110">
        <f>H501*I501*J501*K501</f>
        <v>350</v>
      </c>
      <c r="M501" s="142"/>
      <c r="N501" s="111"/>
    </row>
    <row r="502" spans="2:14" ht="15.75">
      <c r="B502" s="106">
        <v>485</v>
      </c>
      <c r="C502" s="107">
        <v>44</v>
      </c>
      <c r="D502" s="108"/>
      <c r="E502" s="25"/>
      <c r="F502" s="25"/>
      <c r="G502" s="112" t="s">
        <v>447</v>
      </c>
      <c r="H502" s="112">
        <v>1.19</v>
      </c>
      <c r="I502" s="148">
        <v>10</v>
      </c>
      <c r="J502" s="110">
        <v>1</v>
      </c>
      <c r="K502" s="112">
        <v>5</v>
      </c>
      <c r="L502" s="110">
        <f t="shared" si="29"/>
        <v>59.499999999999993</v>
      </c>
      <c r="M502" s="111"/>
      <c r="N502" s="111"/>
    </row>
    <row r="503" spans="2:14" ht="15.75">
      <c r="B503" s="106">
        <v>486</v>
      </c>
      <c r="C503" s="107">
        <v>44</v>
      </c>
      <c r="D503" s="108"/>
      <c r="E503" s="25"/>
      <c r="F503" s="25"/>
      <c r="G503" s="112" t="s">
        <v>459</v>
      </c>
      <c r="H503" s="112">
        <f>16.67+0.22</f>
        <v>16.89</v>
      </c>
      <c r="I503" s="112">
        <v>1</v>
      </c>
      <c r="J503" s="112">
        <v>1</v>
      </c>
      <c r="K503" s="112">
        <v>1</v>
      </c>
      <c r="L503" s="110">
        <f>H503*I503*J503*K503</f>
        <v>16.89</v>
      </c>
      <c r="M503" s="111"/>
      <c r="N503" s="111"/>
    </row>
    <row r="504" spans="2:14" s="138" customFormat="1" ht="63.75">
      <c r="B504" s="126">
        <v>487</v>
      </c>
      <c r="C504" s="127">
        <v>45</v>
      </c>
      <c r="D504" s="135" t="s">
        <v>179</v>
      </c>
      <c r="E504" s="129" t="s">
        <v>739</v>
      </c>
      <c r="F504" s="136" t="s">
        <v>740</v>
      </c>
      <c r="G504" s="131" t="s">
        <v>645</v>
      </c>
      <c r="H504" s="137" t="s">
        <v>671</v>
      </c>
      <c r="I504" s="131"/>
      <c r="J504" s="131"/>
      <c r="K504" s="131"/>
      <c r="L504" s="131">
        <f>SUM(L505:L513)</f>
        <v>3356.39</v>
      </c>
      <c r="M504" s="133">
        <v>3356.39</v>
      </c>
      <c r="N504" s="134">
        <v>3356.39</v>
      </c>
    </row>
    <row r="505" spans="2:14" ht="15.75">
      <c r="B505" s="106">
        <v>488</v>
      </c>
      <c r="C505" s="107">
        <v>45</v>
      </c>
      <c r="D505" s="108"/>
      <c r="E505" s="25"/>
      <c r="F505" s="25"/>
      <c r="G505" s="112" t="s">
        <v>453</v>
      </c>
      <c r="H505" s="112">
        <v>25</v>
      </c>
      <c r="I505" s="110">
        <v>2</v>
      </c>
      <c r="J505" s="110">
        <v>1</v>
      </c>
      <c r="K505" s="112">
        <v>5</v>
      </c>
      <c r="L505" s="110">
        <f>H505*I505*J505*K505</f>
        <v>250</v>
      </c>
      <c r="M505" s="111"/>
      <c r="N505" s="111"/>
    </row>
    <row r="506" spans="2:14" ht="15.75">
      <c r="B506" s="106">
        <v>489</v>
      </c>
      <c r="C506" s="107">
        <v>45</v>
      </c>
      <c r="D506" s="108"/>
      <c r="E506" s="25"/>
      <c r="F506" s="25"/>
      <c r="G506" s="112" t="s">
        <v>429</v>
      </c>
      <c r="H506" s="112">
        <v>4</v>
      </c>
      <c r="I506" s="110">
        <v>24</v>
      </c>
      <c r="J506" s="110">
        <v>1</v>
      </c>
      <c r="K506" s="112">
        <v>5</v>
      </c>
      <c r="L506" s="110">
        <f t="shared" ref="L506:L513" si="30">H506*I506*J506*K506</f>
        <v>480</v>
      </c>
      <c r="M506" s="111"/>
      <c r="N506" s="111"/>
    </row>
    <row r="507" spans="2:14" ht="15.75">
      <c r="B507" s="106">
        <v>490</v>
      </c>
      <c r="C507" s="107">
        <v>45</v>
      </c>
      <c r="D507" s="108"/>
      <c r="E507" s="25"/>
      <c r="F507" s="25"/>
      <c r="G507" s="112" t="s">
        <v>430</v>
      </c>
      <c r="H507" s="112">
        <v>8</v>
      </c>
      <c r="I507" s="110">
        <v>24</v>
      </c>
      <c r="J507" s="110">
        <v>1</v>
      </c>
      <c r="K507" s="112">
        <v>5</v>
      </c>
      <c r="L507" s="110">
        <f t="shared" si="30"/>
        <v>960</v>
      </c>
      <c r="M507" s="111"/>
      <c r="N507" s="111"/>
    </row>
    <row r="508" spans="2:14" ht="24">
      <c r="B508" s="106">
        <v>491</v>
      </c>
      <c r="C508" s="107">
        <v>45</v>
      </c>
      <c r="D508" s="108"/>
      <c r="E508" s="25"/>
      <c r="F508" s="25"/>
      <c r="G508" s="112" t="s">
        <v>431</v>
      </c>
      <c r="H508" s="112">
        <v>10</v>
      </c>
      <c r="I508" s="110">
        <v>20</v>
      </c>
      <c r="J508" s="110">
        <v>1</v>
      </c>
      <c r="K508" s="112">
        <v>5</v>
      </c>
      <c r="L508" s="110">
        <f t="shared" si="30"/>
        <v>1000</v>
      </c>
      <c r="M508" s="111"/>
      <c r="N508" s="111"/>
    </row>
    <row r="509" spans="2:14" ht="15.75">
      <c r="B509" s="106">
        <v>492</v>
      </c>
      <c r="C509" s="107">
        <v>45</v>
      </c>
      <c r="D509" s="108"/>
      <c r="E509" s="25"/>
      <c r="F509" s="25"/>
      <c r="G509" s="112" t="s">
        <v>432</v>
      </c>
      <c r="H509" s="112">
        <v>8</v>
      </c>
      <c r="I509" s="110">
        <v>1</v>
      </c>
      <c r="J509" s="110">
        <v>1</v>
      </c>
      <c r="K509" s="112">
        <v>5</v>
      </c>
      <c r="L509" s="110">
        <f t="shared" si="30"/>
        <v>40</v>
      </c>
      <c r="M509" s="111"/>
      <c r="N509" s="111"/>
    </row>
    <row r="510" spans="2:14" ht="15.75">
      <c r="B510" s="106">
        <v>493</v>
      </c>
      <c r="C510" s="107">
        <v>45</v>
      </c>
      <c r="D510" s="108"/>
      <c r="E510" s="25"/>
      <c r="F510" s="25"/>
      <c r="G510" s="112" t="s">
        <v>434</v>
      </c>
      <c r="H510" s="112">
        <v>10</v>
      </c>
      <c r="I510" s="110">
        <v>20</v>
      </c>
      <c r="J510" s="110">
        <v>1</v>
      </c>
      <c r="K510" s="112">
        <v>1</v>
      </c>
      <c r="L510" s="110">
        <f t="shared" si="30"/>
        <v>200</v>
      </c>
      <c r="M510" s="111"/>
      <c r="N510" s="111"/>
    </row>
    <row r="511" spans="2:14" ht="15.75">
      <c r="B511" s="106">
        <v>494</v>
      </c>
      <c r="C511" s="107">
        <v>45</v>
      </c>
      <c r="D511" s="108"/>
      <c r="E511" s="25"/>
      <c r="F511" s="25"/>
      <c r="G511" s="112" t="s">
        <v>435</v>
      </c>
      <c r="H511" s="112">
        <v>70</v>
      </c>
      <c r="I511" s="110">
        <v>1</v>
      </c>
      <c r="J511" s="110">
        <v>1</v>
      </c>
      <c r="K511" s="112">
        <v>5</v>
      </c>
      <c r="L511" s="110">
        <f t="shared" si="30"/>
        <v>350</v>
      </c>
      <c r="M511" s="111"/>
      <c r="N511" s="111"/>
    </row>
    <row r="512" spans="2:14" ht="15.75">
      <c r="B512" s="106">
        <v>495</v>
      </c>
      <c r="C512" s="107">
        <v>45</v>
      </c>
      <c r="D512" s="108"/>
      <c r="E512" s="25"/>
      <c r="F512" s="25"/>
      <c r="G512" s="112" t="s">
        <v>447</v>
      </c>
      <c r="H512" s="112">
        <v>1.19</v>
      </c>
      <c r="I512" s="110">
        <v>10</v>
      </c>
      <c r="J512" s="110">
        <v>1</v>
      </c>
      <c r="K512" s="112">
        <v>5</v>
      </c>
      <c r="L512" s="110">
        <f t="shared" si="30"/>
        <v>59.499999999999993</v>
      </c>
      <c r="M512" s="111"/>
      <c r="N512" s="111"/>
    </row>
    <row r="513" spans="2:14" ht="15.75">
      <c r="B513" s="106">
        <v>496</v>
      </c>
      <c r="C513" s="107">
        <v>45</v>
      </c>
      <c r="D513" s="108"/>
      <c r="E513" s="25"/>
      <c r="F513" s="25"/>
      <c r="G513" s="112" t="s">
        <v>459</v>
      </c>
      <c r="H513" s="112">
        <f>16.67+0.22</f>
        <v>16.89</v>
      </c>
      <c r="I513" s="112">
        <v>1</v>
      </c>
      <c r="J513" s="112">
        <v>1</v>
      </c>
      <c r="K513" s="112">
        <v>1</v>
      </c>
      <c r="L513" s="110">
        <f t="shared" si="30"/>
        <v>16.89</v>
      </c>
      <c r="M513" s="111"/>
      <c r="N513" s="111"/>
    </row>
    <row r="514" spans="2:14" s="138" customFormat="1" ht="25.5">
      <c r="B514" s="157">
        <v>9999</v>
      </c>
      <c r="C514" s="158">
        <v>46</v>
      </c>
      <c r="D514" s="135" t="s">
        <v>177</v>
      </c>
      <c r="E514" s="129" t="s">
        <v>176</v>
      </c>
      <c r="F514" s="136" t="s">
        <v>811</v>
      </c>
      <c r="G514" s="132"/>
      <c r="H514" s="159"/>
      <c r="I514" s="159"/>
      <c r="J514" s="159"/>
      <c r="K514" s="159"/>
      <c r="L514" s="131">
        <f>SUM(L515:L516)</f>
        <v>0</v>
      </c>
      <c r="M514" s="133">
        <v>0</v>
      </c>
      <c r="N514" s="134">
        <v>0</v>
      </c>
    </row>
    <row r="515" spans="2:14" s="156" customFormat="1" ht="15.75">
      <c r="B515" s="160"/>
      <c r="C515" s="161"/>
      <c r="D515" s="113"/>
      <c r="E515" s="11"/>
      <c r="F515" s="1"/>
      <c r="G515" s="162"/>
      <c r="H515" s="163"/>
      <c r="I515" s="163"/>
      <c r="J515" s="163"/>
      <c r="K515" s="163"/>
      <c r="L515" s="110">
        <f>H515*I515*J515*K515</f>
        <v>0</v>
      </c>
      <c r="M515" s="104"/>
      <c r="N515" s="105"/>
    </row>
    <row r="516" spans="2:14" s="156" customFormat="1" ht="15.75">
      <c r="B516" s="160"/>
      <c r="C516" s="161"/>
      <c r="D516" s="113"/>
      <c r="E516" s="11"/>
      <c r="F516" s="1"/>
      <c r="G516" s="162"/>
      <c r="H516" s="163"/>
      <c r="I516" s="163"/>
      <c r="J516" s="163"/>
      <c r="K516" s="163"/>
      <c r="L516" s="110">
        <f>H516*I516*J516*K516</f>
        <v>0</v>
      </c>
      <c r="M516" s="104"/>
      <c r="N516" s="105"/>
    </row>
    <row r="517" spans="2:14" s="138" customFormat="1" ht="38.25">
      <c r="B517" s="126">
        <v>497</v>
      </c>
      <c r="C517" s="127">
        <v>47</v>
      </c>
      <c r="D517" s="135" t="s">
        <v>175</v>
      </c>
      <c r="E517" s="129" t="s">
        <v>174</v>
      </c>
      <c r="F517" s="136" t="s">
        <v>741</v>
      </c>
      <c r="G517" s="131" t="s">
        <v>577</v>
      </c>
      <c r="H517" s="137" t="s">
        <v>671</v>
      </c>
      <c r="I517" s="131"/>
      <c r="J517" s="131"/>
      <c r="K517" s="131"/>
      <c r="L517" s="131">
        <f>SUM(L518:L519)</f>
        <v>1100</v>
      </c>
      <c r="M517" s="133">
        <v>1100</v>
      </c>
      <c r="N517" s="134">
        <v>1100</v>
      </c>
    </row>
    <row r="518" spans="2:14" ht="15.75">
      <c r="B518" s="106">
        <v>498</v>
      </c>
      <c r="C518" s="107">
        <v>47</v>
      </c>
      <c r="D518" s="108"/>
      <c r="E518" s="25"/>
      <c r="F518" s="25"/>
      <c r="G518" s="112" t="s">
        <v>578</v>
      </c>
      <c r="H518" s="112">
        <f>55.56-(0.52/9)</f>
        <v>55.502222222222223</v>
      </c>
      <c r="I518" s="112">
        <v>9</v>
      </c>
      <c r="J518" s="112">
        <v>1</v>
      </c>
      <c r="K518" s="112">
        <v>1</v>
      </c>
      <c r="L518" s="110">
        <f>H518*I518*J518*K518</f>
        <v>499.52</v>
      </c>
      <c r="M518" s="111"/>
      <c r="N518" s="111"/>
    </row>
    <row r="519" spans="2:14" ht="15.75">
      <c r="B519" s="106">
        <v>499</v>
      </c>
      <c r="C519" s="107">
        <v>47</v>
      </c>
      <c r="D519" s="108"/>
      <c r="E519" s="25"/>
      <c r="F519" s="25"/>
      <c r="G519" s="112" t="s">
        <v>579</v>
      </c>
      <c r="H519" s="112">
        <v>5.56</v>
      </c>
      <c r="I519" s="112">
        <v>9</v>
      </c>
      <c r="J519" s="112">
        <v>1</v>
      </c>
      <c r="K519" s="112">
        <v>12</v>
      </c>
      <c r="L519" s="110">
        <f>H519*I519*J519*K519</f>
        <v>600.48</v>
      </c>
      <c r="M519" s="111"/>
      <c r="N519" s="111"/>
    </row>
    <row r="520" spans="2:14" s="138" customFormat="1" ht="25.5">
      <c r="B520" s="126">
        <v>500</v>
      </c>
      <c r="C520" s="127">
        <v>48</v>
      </c>
      <c r="D520" s="135" t="s">
        <v>173</v>
      </c>
      <c r="E520" s="129" t="s">
        <v>172</v>
      </c>
      <c r="F520" s="136" t="s">
        <v>742</v>
      </c>
      <c r="G520" s="131" t="s">
        <v>646</v>
      </c>
      <c r="H520" s="137" t="s">
        <v>671</v>
      </c>
      <c r="I520" s="131"/>
      <c r="J520" s="131"/>
      <c r="K520" s="131"/>
      <c r="L520" s="131">
        <f>SUM(L521:L526)</f>
        <v>1593.33</v>
      </c>
      <c r="M520" s="133">
        <v>7966.67</v>
      </c>
      <c r="N520" s="134">
        <v>4779.99</v>
      </c>
    </row>
    <row r="521" spans="2:14" ht="15.75">
      <c r="B521" s="106">
        <v>501</v>
      </c>
      <c r="C521" s="107">
        <v>48</v>
      </c>
      <c r="D521" s="108"/>
      <c r="E521" s="25"/>
      <c r="F521" s="25"/>
      <c r="G521" s="112" t="s">
        <v>443</v>
      </c>
      <c r="H521" s="112">
        <v>8.33</v>
      </c>
      <c r="I521" s="110">
        <v>7</v>
      </c>
      <c r="J521" s="112">
        <v>4</v>
      </c>
      <c r="K521" s="112">
        <v>1</v>
      </c>
      <c r="L521" s="110">
        <f>H521*I521*J521*K521</f>
        <v>233.24</v>
      </c>
      <c r="M521" s="111">
        <f>65-33</f>
        <v>32</v>
      </c>
      <c r="N521" s="111"/>
    </row>
    <row r="522" spans="2:14" ht="15.75">
      <c r="B522" s="106">
        <v>502</v>
      </c>
      <c r="C522" s="107">
        <v>48</v>
      </c>
      <c r="D522" s="108"/>
      <c r="E522" s="25"/>
      <c r="F522" s="25"/>
      <c r="G522" s="112" t="s">
        <v>444</v>
      </c>
      <c r="H522" s="112">
        <v>1.1100000000000001</v>
      </c>
      <c r="I522" s="110">
        <v>42</v>
      </c>
      <c r="J522" s="112">
        <v>4</v>
      </c>
      <c r="K522" s="112">
        <v>1</v>
      </c>
      <c r="L522" s="110">
        <f t="shared" ref="L522:L526" si="31">H522*I522*J522*K522</f>
        <v>186.48000000000002</v>
      </c>
      <c r="M522" s="111"/>
      <c r="N522" s="111"/>
    </row>
    <row r="523" spans="2:14" ht="15.75">
      <c r="B523" s="106">
        <v>503</v>
      </c>
      <c r="C523" s="107">
        <v>48</v>
      </c>
      <c r="D523" s="108"/>
      <c r="E523" s="25"/>
      <c r="F523" s="25"/>
      <c r="G523" s="112" t="s">
        <v>456</v>
      </c>
      <c r="H523" s="112">
        <v>0.56000000000000005</v>
      </c>
      <c r="I523" s="110">
        <v>82</v>
      </c>
      <c r="J523" s="112">
        <v>4</v>
      </c>
      <c r="K523" s="112">
        <v>1</v>
      </c>
      <c r="L523" s="110">
        <f t="shared" si="31"/>
        <v>183.68</v>
      </c>
      <c r="M523" s="111"/>
      <c r="N523" s="111"/>
    </row>
    <row r="524" spans="2:14" ht="15.75">
      <c r="B524" s="106">
        <v>504</v>
      </c>
      <c r="C524" s="107">
        <v>48</v>
      </c>
      <c r="D524" s="108"/>
      <c r="E524" s="25"/>
      <c r="F524" s="25"/>
      <c r="G524" s="112" t="s">
        <v>464</v>
      </c>
      <c r="H524" s="112">
        <v>305.56</v>
      </c>
      <c r="I524" s="112">
        <v>1</v>
      </c>
      <c r="J524" s="112">
        <v>2</v>
      </c>
      <c r="K524" s="112">
        <v>1</v>
      </c>
      <c r="L524" s="110">
        <f t="shared" si="31"/>
        <v>611.12</v>
      </c>
      <c r="M524" s="111"/>
      <c r="N524" s="111"/>
    </row>
    <row r="525" spans="2:14" ht="15.75">
      <c r="B525" s="106">
        <v>505</v>
      </c>
      <c r="C525" s="107">
        <v>48</v>
      </c>
      <c r="D525" s="108"/>
      <c r="E525" s="25"/>
      <c r="F525" s="25"/>
      <c r="G525" s="112" t="s">
        <v>465</v>
      </c>
      <c r="H525" s="112">
        <f>166.665-0.5-0.16</f>
        <v>166.005</v>
      </c>
      <c r="I525" s="112">
        <v>1</v>
      </c>
      <c r="J525" s="112">
        <v>2</v>
      </c>
      <c r="K525" s="112">
        <v>1</v>
      </c>
      <c r="L525" s="110">
        <f t="shared" si="31"/>
        <v>332.01</v>
      </c>
      <c r="M525" s="111"/>
      <c r="N525" s="111"/>
    </row>
    <row r="526" spans="2:14" ht="15.75">
      <c r="B526" s="106">
        <v>506</v>
      </c>
      <c r="C526" s="107">
        <v>48</v>
      </c>
      <c r="D526" s="108"/>
      <c r="E526" s="25"/>
      <c r="F526" s="25"/>
      <c r="G526" s="112" t="s">
        <v>447</v>
      </c>
      <c r="H526" s="112">
        <v>1.17</v>
      </c>
      <c r="I526" s="112">
        <v>10</v>
      </c>
      <c r="J526" s="112">
        <v>4</v>
      </c>
      <c r="K526" s="112">
        <v>1</v>
      </c>
      <c r="L526" s="110">
        <f t="shared" si="31"/>
        <v>46.8</v>
      </c>
      <c r="M526" s="111"/>
      <c r="N526" s="111"/>
    </row>
    <row r="527" spans="2:14" s="138" customFormat="1" ht="51">
      <c r="B527" s="126">
        <v>507</v>
      </c>
      <c r="C527" s="127">
        <v>49</v>
      </c>
      <c r="D527" s="135" t="s">
        <v>171</v>
      </c>
      <c r="E527" s="129" t="s">
        <v>170</v>
      </c>
      <c r="F527" s="303" t="s">
        <v>1001</v>
      </c>
      <c r="G527" s="131" t="s">
        <v>580</v>
      </c>
      <c r="H527" s="137" t="s">
        <v>671</v>
      </c>
      <c r="I527" s="131"/>
      <c r="J527" s="131"/>
      <c r="K527" s="131"/>
      <c r="L527" s="139">
        <f>SUM(L528:L538)</f>
        <v>20261.940000000002</v>
      </c>
      <c r="M527" s="133">
        <v>20261.939999999999</v>
      </c>
      <c r="N527" s="134">
        <v>20261.939999999999</v>
      </c>
    </row>
    <row r="528" spans="2:14" ht="15.75">
      <c r="B528" s="106">
        <v>508</v>
      </c>
      <c r="C528" s="107">
        <v>49</v>
      </c>
      <c r="D528" s="108"/>
      <c r="E528" s="25"/>
      <c r="F528" s="25"/>
      <c r="G528" s="112" t="s">
        <v>424</v>
      </c>
      <c r="H528" s="112">
        <v>16825</v>
      </c>
      <c r="I528" s="112">
        <v>1</v>
      </c>
      <c r="J528" s="112">
        <v>1</v>
      </c>
      <c r="K528" s="112">
        <v>1</v>
      </c>
      <c r="L528" s="110">
        <f>H528*I528*J528*K528</f>
        <v>16825</v>
      </c>
      <c r="M528" s="111"/>
      <c r="N528" s="111"/>
    </row>
    <row r="529" spans="2:14" ht="15.75">
      <c r="B529" s="106">
        <v>509</v>
      </c>
      <c r="C529" s="107">
        <v>49</v>
      </c>
      <c r="D529" s="108"/>
      <c r="E529" s="25"/>
      <c r="F529" s="25"/>
      <c r="G529" s="112" t="s">
        <v>429</v>
      </c>
      <c r="H529" s="112">
        <v>4</v>
      </c>
      <c r="I529" s="110">
        <v>24</v>
      </c>
      <c r="J529" s="110">
        <v>1</v>
      </c>
      <c r="K529" s="112">
        <v>5</v>
      </c>
      <c r="L529" s="110">
        <f t="shared" ref="L529:L538" si="32">H529*I529*J529*K529</f>
        <v>480</v>
      </c>
      <c r="M529" s="111"/>
      <c r="N529" s="111"/>
    </row>
    <row r="530" spans="2:14" ht="15.75">
      <c r="B530" s="106">
        <v>510</v>
      </c>
      <c r="C530" s="107">
        <v>49</v>
      </c>
      <c r="D530" s="108"/>
      <c r="E530" s="25"/>
      <c r="F530" s="25"/>
      <c r="G530" s="112" t="s">
        <v>430</v>
      </c>
      <c r="H530" s="112">
        <v>8</v>
      </c>
      <c r="I530" s="110">
        <v>24</v>
      </c>
      <c r="J530" s="110">
        <v>1</v>
      </c>
      <c r="K530" s="112">
        <v>5</v>
      </c>
      <c r="L530" s="110">
        <f t="shared" si="32"/>
        <v>960</v>
      </c>
      <c r="M530" s="111"/>
      <c r="N530" s="111"/>
    </row>
    <row r="531" spans="2:14" ht="24">
      <c r="B531" s="106">
        <v>511</v>
      </c>
      <c r="C531" s="107">
        <v>49</v>
      </c>
      <c r="D531" s="108"/>
      <c r="E531" s="25"/>
      <c r="F531" s="25"/>
      <c r="G531" s="112" t="s">
        <v>431</v>
      </c>
      <c r="H531" s="112">
        <v>10</v>
      </c>
      <c r="I531" s="110">
        <v>20</v>
      </c>
      <c r="J531" s="110">
        <v>1</v>
      </c>
      <c r="K531" s="112">
        <v>5</v>
      </c>
      <c r="L531" s="110">
        <f t="shared" si="32"/>
        <v>1000</v>
      </c>
      <c r="M531" s="111"/>
      <c r="N531" s="111"/>
    </row>
    <row r="532" spans="2:14" ht="15.75">
      <c r="B532" s="106">
        <v>512</v>
      </c>
      <c r="C532" s="107">
        <v>49</v>
      </c>
      <c r="D532" s="108"/>
      <c r="E532" s="25"/>
      <c r="F532" s="25"/>
      <c r="G532" s="112" t="s">
        <v>432</v>
      </c>
      <c r="H532" s="112">
        <v>8</v>
      </c>
      <c r="I532" s="110">
        <v>1</v>
      </c>
      <c r="J532" s="110">
        <v>1</v>
      </c>
      <c r="K532" s="112">
        <v>5</v>
      </c>
      <c r="L532" s="110">
        <f t="shared" si="32"/>
        <v>40</v>
      </c>
      <c r="M532" s="111"/>
      <c r="N532" s="111"/>
    </row>
    <row r="533" spans="2:14" ht="15.75">
      <c r="B533" s="106">
        <v>513</v>
      </c>
      <c r="C533" s="107">
        <v>49</v>
      </c>
      <c r="D533" s="108"/>
      <c r="E533" s="25"/>
      <c r="F533" s="25"/>
      <c r="G533" s="112" t="s">
        <v>434</v>
      </c>
      <c r="H533" s="112">
        <v>10</v>
      </c>
      <c r="I533" s="110">
        <v>20</v>
      </c>
      <c r="J533" s="110">
        <v>1</v>
      </c>
      <c r="K533" s="112">
        <v>1</v>
      </c>
      <c r="L533" s="110">
        <f t="shared" si="32"/>
        <v>200</v>
      </c>
      <c r="M533" s="111"/>
      <c r="N533" s="111"/>
    </row>
    <row r="534" spans="2:14" ht="15.75">
      <c r="B534" s="106">
        <v>514</v>
      </c>
      <c r="C534" s="107">
        <v>49</v>
      </c>
      <c r="D534" s="108"/>
      <c r="E534" s="25"/>
      <c r="F534" s="25"/>
      <c r="G534" s="112" t="s">
        <v>435</v>
      </c>
      <c r="H534" s="112">
        <v>70</v>
      </c>
      <c r="I534" s="110">
        <v>1</v>
      </c>
      <c r="J534" s="110">
        <v>1</v>
      </c>
      <c r="K534" s="112">
        <v>5</v>
      </c>
      <c r="L534" s="110">
        <f t="shared" si="32"/>
        <v>350</v>
      </c>
      <c r="M534" s="111"/>
      <c r="N534" s="111"/>
    </row>
    <row r="535" spans="2:14" ht="15.75">
      <c r="B535" s="106">
        <v>515</v>
      </c>
      <c r="C535" s="107">
        <v>49</v>
      </c>
      <c r="D535" s="108"/>
      <c r="E535" s="25"/>
      <c r="F535" s="25"/>
      <c r="G535" s="112" t="s">
        <v>443</v>
      </c>
      <c r="H535" s="112">
        <v>8.33</v>
      </c>
      <c r="I535" s="112">
        <v>3</v>
      </c>
      <c r="J535" s="110">
        <v>1</v>
      </c>
      <c r="K535" s="112">
        <v>1</v>
      </c>
      <c r="L535" s="110">
        <f t="shared" si="32"/>
        <v>24.990000000000002</v>
      </c>
      <c r="M535" s="111"/>
      <c r="N535" s="111"/>
    </row>
    <row r="536" spans="2:14" ht="15.75">
      <c r="B536" s="106">
        <v>516</v>
      </c>
      <c r="C536" s="107">
        <v>49</v>
      </c>
      <c r="D536" s="108"/>
      <c r="E536" s="25"/>
      <c r="F536" s="25"/>
      <c r="G536" s="112" t="s">
        <v>458</v>
      </c>
      <c r="H536" s="112">
        <v>305.56</v>
      </c>
      <c r="I536" s="110">
        <v>1</v>
      </c>
      <c r="J536" s="110">
        <v>1</v>
      </c>
      <c r="K536" s="112">
        <v>1</v>
      </c>
      <c r="L536" s="110">
        <f t="shared" si="32"/>
        <v>305.56</v>
      </c>
      <c r="M536" s="111"/>
      <c r="N536" s="111"/>
    </row>
    <row r="537" spans="2:14" ht="15.75">
      <c r="B537" s="106">
        <v>517</v>
      </c>
      <c r="C537" s="107">
        <v>49</v>
      </c>
      <c r="D537" s="108"/>
      <c r="E537" s="25"/>
      <c r="F537" s="25"/>
      <c r="G537" s="112" t="s">
        <v>447</v>
      </c>
      <c r="H537" s="112">
        <v>1.19</v>
      </c>
      <c r="I537" s="110">
        <v>10</v>
      </c>
      <c r="J537" s="110">
        <v>1</v>
      </c>
      <c r="K537" s="112">
        <v>5</v>
      </c>
      <c r="L537" s="110">
        <f t="shared" si="32"/>
        <v>59.499999999999993</v>
      </c>
      <c r="M537" s="111"/>
      <c r="N537" s="111"/>
    </row>
    <row r="538" spans="2:14" ht="15.75">
      <c r="B538" s="106">
        <v>518</v>
      </c>
      <c r="C538" s="107">
        <v>49</v>
      </c>
      <c r="D538" s="108"/>
      <c r="E538" s="25"/>
      <c r="F538" s="25"/>
      <c r="G538" s="112" t="s">
        <v>459</v>
      </c>
      <c r="H538" s="112">
        <f>16.67+0.22</f>
        <v>16.89</v>
      </c>
      <c r="I538" s="112">
        <v>1</v>
      </c>
      <c r="J538" s="112">
        <v>1</v>
      </c>
      <c r="K538" s="112">
        <v>1</v>
      </c>
      <c r="L538" s="110">
        <f t="shared" si="32"/>
        <v>16.89</v>
      </c>
      <c r="M538" s="111"/>
      <c r="N538" s="111"/>
    </row>
    <row r="539" spans="2:14" s="138" customFormat="1" ht="89.25">
      <c r="B539" s="126">
        <v>519</v>
      </c>
      <c r="C539" s="127">
        <v>50</v>
      </c>
      <c r="D539" s="135" t="s">
        <v>169</v>
      </c>
      <c r="E539" s="129" t="s">
        <v>743</v>
      </c>
      <c r="F539" s="136" t="s">
        <v>744</v>
      </c>
      <c r="G539" s="131" t="s">
        <v>588</v>
      </c>
      <c r="H539" s="137" t="s">
        <v>671</v>
      </c>
      <c r="I539" s="131"/>
      <c r="J539" s="131"/>
      <c r="K539" s="131"/>
      <c r="L539" s="131">
        <f>SUM(L540:L550)</f>
        <v>3141.11</v>
      </c>
      <c r="M539" s="133">
        <v>9423.33</v>
      </c>
      <c r="N539" s="134">
        <v>6282.22</v>
      </c>
    </row>
    <row r="540" spans="2:14" ht="15.75">
      <c r="B540" s="106">
        <v>520</v>
      </c>
      <c r="C540" s="107">
        <v>50</v>
      </c>
      <c r="D540" s="108"/>
      <c r="E540" s="25"/>
      <c r="F540" s="25"/>
      <c r="G540" s="112" t="s">
        <v>453</v>
      </c>
      <c r="H540" s="112">
        <v>25</v>
      </c>
      <c r="I540" s="110">
        <v>2</v>
      </c>
      <c r="J540" s="110">
        <v>1</v>
      </c>
      <c r="K540" s="112">
        <v>5</v>
      </c>
      <c r="L540" s="110">
        <f>H540*I540*J540*K540</f>
        <v>250</v>
      </c>
      <c r="M540" s="111"/>
      <c r="N540" s="111"/>
    </row>
    <row r="541" spans="2:14" ht="15.75">
      <c r="B541" s="106">
        <v>521</v>
      </c>
      <c r="C541" s="107">
        <v>50</v>
      </c>
      <c r="D541" s="108"/>
      <c r="E541" s="25"/>
      <c r="F541" s="25"/>
      <c r="G541" s="112" t="s">
        <v>429</v>
      </c>
      <c r="H541" s="112">
        <v>4</v>
      </c>
      <c r="I541" s="110">
        <v>14</v>
      </c>
      <c r="J541" s="110">
        <v>1</v>
      </c>
      <c r="K541" s="112">
        <v>5</v>
      </c>
      <c r="L541" s="110">
        <f t="shared" ref="L541:L550" si="33">H541*I541*J541*K541</f>
        <v>280</v>
      </c>
      <c r="M541" s="111"/>
      <c r="N541" s="111"/>
    </row>
    <row r="542" spans="2:14" ht="15.75">
      <c r="B542" s="106">
        <v>522</v>
      </c>
      <c r="C542" s="107">
        <v>50</v>
      </c>
      <c r="D542" s="108"/>
      <c r="E542" s="25"/>
      <c r="F542" s="25"/>
      <c r="G542" s="112" t="s">
        <v>430</v>
      </c>
      <c r="H542" s="112">
        <v>8</v>
      </c>
      <c r="I542" s="110">
        <v>14</v>
      </c>
      <c r="J542" s="110">
        <v>1</v>
      </c>
      <c r="K542" s="112">
        <v>5</v>
      </c>
      <c r="L542" s="110">
        <f t="shared" si="33"/>
        <v>560</v>
      </c>
      <c r="M542" s="111"/>
      <c r="N542" s="111"/>
    </row>
    <row r="543" spans="2:14" ht="24">
      <c r="B543" s="106">
        <v>523</v>
      </c>
      <c r="C543" s="107">
        <v>50</v>
      </c>
      <c r="D543" s="108"/>
      <c r="E543" s="25"/>
      <c r="F543" s="25"/>
      <c r="G543" s="112" t="s">
        <v>431</v>
      </c>
      <c r="H543" s="112">
        <v>10</v>
      </c>
      <c r="I543" s="110">
        <v>10</v>
      </c>
      <c r="J543" s="110">
        <v>1</v>
      </c>
      <c r="K543" s="112">
        <v>5</v>
      </c>
      <c r="L543" s="110">
        <f t="shared" si="33"/>
        <v>500</v>
      </c>
      <c r="M543" s="111"/>
      <c r="N543" s="111"/>
    </row>
    <row r="544" spans="2:14" ht="15.75">
      <c r="B544" s="106">
        <v>524</v>
      </c>
      <c r="C544" s="107">
        <v>50</v>
      </c>
      <c r="D544" s="108"/>
      <c r="E544" s="25"/>
      <c r="F544" s="25"/>
      <c r="G544" s="112" t="s">
        <v>432</v>
      </c>
      <c r="H544" s="112">
        <v>8</v>
      </c>
      <c r="I544" s="110">
        <v>1</v>
      </c>
      <c r="J544" s="110">
        <v>1</v>
      </c>
      <c r="K544" s="112">
        <v>5</v>
      </c>
      <c r="L544" s="110">
        <f t="shared" si="33"/>
        <v>40</v>
      </c>
      <c r="M544" s="111"/>
      <c r="N544" s="111"/>
    </row>
    <row r="545" spans="2:14" ht="24">
      <c r="B545" s="106">
        <v>525</v>
      </c>
      <c r="C545" s="107">
        <v>50</v>
      </c>
      <c r="D545" s="108"/>
      <c r="E545" s="25"/>
      <c r="F545" s="25"/>
      <c r="G545" s="112" t="s">
        <v>481</v>
      </c>
      <c r="H545" s="112">
        <v>135</v>
      </c>
      <c r="I545" s="110">
        <v>1</v>
      </c>
      <c r="J545" s="110">
        <v>1</v>
      </c>
      <c r="K545" s="112">
        <v>7</v>
      </c>
      <c r="L545" s="110">
        <f t="shared" si="33"/>
        <v>945</v>
      </c>
      <c r="M545" s="111"/>
      <c r="N545" s="111"/>
    </row>
    <row r="546" spans="2:14" ht="15.75">
      <c r="B546" s="106">
        <v>526</v>
      </c>
      <c r="C546" s="107">
        <v>50</v>
      </c>
      <c r="D546" s="108"/>
      <c r="E546" s="25"/>
      <c r="F546" s="25"/>
      <c r="G546" s="112" t="s">
        <v>434</v>
      </c>
      <c r="H546" s="112">
        <v>10</v>
      </c>
      <c r="I546" s="110">
        <v>10</v>
      </c>
      <c r="J546" s="110">
        <v>1</v>
      </c>
      <c r="K546" s="112">
        <v>1</v>
      </c>
      <c r="L546" s="110">
        <f t="shared" si="33"/>
        <v>100</v>
      </c>
      <c r="M546" s="111"/>
      <c r="N546" s="111"/>
    </row>
    <row r="547" spans="2:14" ht="15.75">
      <c r="B547" s="106">
        <v>527</v>
      </c>
      <c r="C547" s="107">
        <v>50</v>
      </c>
      <c r="D547" s="108"/>
      <c r="E547" s="25"/>
      <c r="F547" s="25"/>
      <c r="G547" s="112" t="s">
        <v>455</v>
      </c>
      <c r="H547" s="112">
        <v>260</v>
      </c>
      <c r="I547" s="110">
        <v>1</v>
      </c>
      <c r="J547" s="110">
        <v>1</v>
      </c>
      <c r="K547" s="112">
        <v>1</v>
      </c>
      <c r="L547" s="110">
        <f t="shared" si="33"/>
        <v>260</v>
      </c>
      <c r="M547" s="111"/>
      <c r="N547" s="111"/>
    </row>
    <row r="548" spans="2:14" ht="15.75">
      <c r="B548" s="106">
        <v>528</v>
      </c>
      <c r="C548" s="107">
        <v>50</v>
      </c>
      <c r="D548" s="108"/>
      <c r="E548" s="25"/>
      <c r="F548" s="25"/>
      <c r="G548" s="112" t="s">
        <v>435</v>
      </c>
      <c r="H548" s="112">
        <v>70</v>
      </c>
      <c r="I548" s="110">
        <v>1</v>
      </c>
      <c r="J548" s="110">
        <v>1</v>
      </c>
      <c r="K548" s="112">
        <v>1</v>
      </c>
      <c r="L548" s="110">
        <f t="shared" si="33"/>
        <v>70</v>
      </c>
      <c r="M548" s="111"/>
      <c r="N548" s="111"/>
    </row>
    <row r="549" spans="2:14" ht="15.75">
      <c r="B549" s="106">
        <v>529</v>
      </c>
      <c r="C549" s="107">
        <v>50</v>
      </c>
      <c r="D549" s="108"/>
      <c r="E549" s="25"/>
      <c r="F549" s="25"/>
      <c r="G549" s="112" t="s">
        <v>447</v>
      </c>
      <c r="H549" s="112">
        <v>1.19</v>
      </c>
      <c r="I549" s="110">
        <v>10</v>
      </c>
      <c r="J549" s="110">
        <v>1</v>
      </c>
      <c r="K549" s="112">
        <v>10</v>
      </c>
      <c r="L549" s="110">
        <f t="shared" si="33"/>
        <v>118.99999999999999</v>
      </c>
      <c r="M549" s="111"/>
      <c r="N549" s="111"/>
    </row>
    <row r="550" spans="2:14" ht="15.75">
      <c r="B550" s="106">
        <v>530</v>
      </c>
      <c r="C550" s="107">
        <v>50</v>
      </c>
      <c r="D550" s="108"/>
      <c r="E550" s="25"/>
      <c r="F550" s="25"/>
      <c r="G550" s="112" t="s">
        <v>459</v>
      </c>
      <c r="H550" s="112">
        <f>17.67-(0.67-0.11)</f>
        <v>17.110000000000003</v>
      </c>
      <c r="I550" s="112">
        <v>1</v>
      </c>
      <c r="J550" s="112">
        <v>1</v>
      </c>
      <c r="K550" s="112">
        <v>1</v>
      </c>
      <c r="L550" s="110">
        <f t="shared" si="33"/>
        <v>17.110000000000003</v>
      </c>
      <c r="M550" s="111"/>
      <c r="N550" s="111"/>
    </row>
    <row r="551" spans="2:14" s="138" customFormat="1" ht="76.5">
      <c r="B551" s="126">
        <v>531</v>
      </c>
      <c r="C551" s="127">
        <v>51</v>
      </c>
      <c r="D551" s="135" t="s">
        <v>167</v>
      </c>
      <c r="E551" s="129" t="s">
        <v>166</v>
      </c>
      <c r="F551" s="136" t="s">
        <v>745</v>
      </c>
      <c r="G551" s="131" t="s">
        <v>166</v>
      </c>
      <c r="H551" s="137" t="s">
        <v>671</v>
      </c>
      <c r="I551" s="131"/>
      <c r="J551" s="131"/>
      <c r="K551" s="131"/>
      <c r="L551" s="131">
        <f>SUM(L552:L555)</f>
        <v>374.67</v>
      </c>
      <c r="M551" s="133">
        <v>1873.33</v>
      </c>
      <c r="N551" s="134">
        <v>1123.67</v>
      </c>
    </row>
    <row r="552" spans="2:14" ht="15.75">
      <c r="B552" s="106">
        <v>532</v>
      </c>
      <c r="C552" s="107">
        <v>51</v>
      </c>
      <c r="D552" s="108"/>
      <c r="E552" s="25"/>
      <c r="F552" s="25"/>
      <c r="G552" s="112" t="s">
        <v>429</v>
      </c>
      <c r="H552" s="112">
        <v>4</v>
      </c>
      <c r="I552" s="110">
        <v>22</v>
      </c>
      <c r="J552" s="112">
        <v>1</v>
      </c>
      <c r="K552" s="112">
        <v>1</v>
      </c>
      <c r="L552" s="110">
        <f>H552*I552*J552*K552</f>
        <v>88</v>
      </c>
      <c r="M552" s="111"/>
      <c r="N552" s="111"/>
    </row>
    <row r="553" spans="2:14" ht="15.75">
      <c r="B553" s="106">
        <v>533</v>
      </c>
      <c r="C553" s="107">
        <v>51</v>
      </c>
      <c r="D553" s="108"/>
      <c r="E553" s="25"/>
      <c r="F553" s="25"/>
      <c r="G553" s="112" t="s">
        <v>501</v>
      </c>
      <c r="H553" s="112">
        <v>10</v>
      </c>
      <c r="I553" s="110">
        <v>20</v>
      </c>
      <c r="J553" s="112">
        <v>1</v>
      </c>
      <c r="K553" s="112">
        <v>1</v>
      </c>
      <c r="L553" s="110">
        <f t="shared" ref="L553:L555" si="34">H553*I553*J553*K553</f>
        <v>200</v>
      </c>
      <c r="M553" s="111"/>
      <c r="N553" s="111"/>
    </row>
    <row r="554" spans="2:14" ht="15.75">
      <c r="B554" s="106">
        <v>534</v>
      </c>
      <c r="C554" s="107">
        <v>51</v>
      </c>
      <c r="D554" s="108"/>
      <c r="E554" s="25"/>
      <c r="F554" s="25"/>
      <c r="G554" s="112" t="s">
        <v>589</v>
      </c>
      <c r="H554" s="112">
        <v>70</v>
      </c>
      <c r="I554" s="110">
        <v>1</v>
      </c>
      <c r="J554" s="112">
        <v>1</v>
      </c>
      <c r="K554" s="112">
        <v>1</v>
      </c>
      <c r="L554" s="110">
        <f t="shared" si="34"/>
        <v>70</v>
      </c>
      <c r="M554" s="111"/>
      <c r="N554" s="111"/>
    </row>
    <row r="555" spans="2:14" ht="15.75">
      <c r="B555" s="106">
        <v>535</v>
      </c>
      <c r="C555" s="107">
        <v>51</v>
      </c>
      <c r="D555" s="108"/>
      <c r="E555" s="25"/>
      <c r="F555" s="25"/>
      <c r="G555" s="112" t="s">
        <v>459</v>
      </c>
      <c r="H555" s="112">
        <v>16.670000000000002</v>
      </c>
      <c r="I555" s="112">
        <v>1</v>
      </c>
      <c r="J555" s="112">
        <v>1</v>
      </c>
      <c r="K555" s="112">
        <v>1</v>
      </c>
      <c r="L555" s="110">
        <f t="shared" si="34"/>
        <v>16.670000000000002</v>
      </c>
      <c r="M555" s="111"/>
      <c r="N555" s="111"/>
    </row>
    <row r="556" spans="2:14" s="138" customFormat="1" ht="76.5">
      <c r="B556" s="126">
        <v>536</v>
      </c>
      <c r="C556" s="127">
        <v>52</v>
      </c>
      <c r="D556" s="135" t="s">
        <v>164</v>
      </c>
      <c r="E556" s="129" t="s">
        <v>746</v>
      </c>
      <c r="F556" s="136" t="s">
        <v>747</v>
      </c>
      <c r="G556" s="131" t="s">
        <v>652</v>
      </c>
      <c r="H556" s="137" t="s">
        <v>671</v>
      </c>
      <c r="I556" s="131"/>
      <c r="J556" s="131"/>
      <c r="K556" s="131"/>
      <c r="L556" s="131">
        <f>SUM(L557:L558)</f>
        <v>3722.2200000000003</v>
      </c>
      <c r="M556" s="133">
        <v>18611.11</v>
      </c>
      <c r="N556" s="134">
        <v>11166.66</v>
      </c>
    </row>
    <row r="557" spans="2:14" ht="24">
      <c r="B557" s="106">
        <v>537</v>
      </c>
      <c r="C557" s="107">
        <v>52</v>
      </c>
      <c r="D557" s="108"/>
      <c r="E557" s="25"/>
      <c r="F557" s="25"/>
      <c r="G557" s="112" t="s">
        <v>748</v>
      </c>
      <c r="H557" s="112">
        <v>3611.11</v>
      </c>
      <c r="I557" s="112">
        <v>1</v>
      </c>
      <c r="J557" s="112">
        <v>1</v>
      </c>
      <c r="K557" s="112">
        <v>1</v>
      </c>
      <c r="L557" s="110">
        <f>H557*I557*J557*K557</f>
        <v>3611.11</v>
      </c>
      <c r="M557" s="111"/>
      <c r="N557" s="111"/>
    </row>
    <row r="558" spans="2:14" ht="15.75">
      <c r="B558" s="106">
        <v>538</v>
      </c>
      <c r="C558" s="107">
        <v>52</v>
      </c>
      <c r="D558" s="108"/>
      <c r="E558" s="25"/>
      <c r="F558" s="25"/>
      <c r="G558" s="112" t="s">
        <v>749</v>
      </c>
      <c r="H558" s="112">
        <f>111.11</f>
        <v>111.11</v>
      </c>
      <c r="I558" s="112">
        <v>1</v>
      </c>
      <c r="J558" s="112">
        <v>1</v>
      </c>
      <c r="K558" s="112">
        <v>1</v>
      </c>
      <c r="L558" s="110">
        <f>H558*I558*J558*K558</f>
        <v>111.11</v>
      </c>
      <c r="M558" s="111"/>
      <c r="N558" s="111"/>
    </row>
    <row r="559" spans="2:14" ht="24">
      <c r="B559" s="106"/>
      <c r="C559" s="107"/>
      <c r="D559" s="108"/>
      <c r="E559" s="25"/>
      <c r="F559" s="25"/>
      <c r="G559" s="304" t="s">
        <v>1002</v>
      </c>
      <c r="H559" s="112"/>
      <c r="I559" s="112"/>
      <c r="J559" s="112"/>
      <c r="K559" s="112"/>
      <c r="L559" s="110"/>
      <c r="M559" s="111"/>
      <c r="N559" s="111"/>
    </row>
    <row r="560" spans="2:14" s="138" customFormat="1" ht="51">
      <c r="B560" s="126">
        <v>539</v>
      </c>
      <c r="C560" s="127">
        <v>53</v>
      </c>
      <c r="D560" s="135" t="s">
        <v>162</v>
      </c>
      <c r="E560" s="129" t="s">
        <v>161</v>
      </c>
      <c r="F560" s="136" t="s">
        <v>750</v>
      </c>
      <c r="G560" s="131" t="s">
        <v>653</v>
      </c>
      <c r="H560" s="137" t="s">
        <v>671</v>
      </c>
      <c r="I560" s="131"/>
      <c r="J560" s="131"/>
      <c r="K560" s="131"/>
      <c r="L560" s="131">
        <f>SUM(L561:L562)</f>
        <v>3722.2200000000003</v>
      </c>
      <c r="M560" s="133">
        <v>18611.11</v>
      </c>
      <c r="N560" s="134">
        <v>11166.66</v>
      </c>
    </row>
    <row r="561" spans="1:15" ht="15.75">
      <c r="B561" s="106">
        <v>540</v>
      </c>
      <c r="C561" s="107">
        <v>53</v>
      </c>
      <c r="D561" s="108"/>
      <c r="E561" s="25"/>
      <c r="F561" s="25"/>
      <c r="G561" s="112" t="s">
        <v>751</v>
      </c>
      <c r="H561" s="112">
        <v>3611.11</v>
      </c>
      <c r="I561" s="112">
        <v>1</v>
      </c>
      <c r="J561" s="112">
        <v>1</v>
      </c>
      <c r="K561" s="112">
        <v>1</v>
      </c>
      <c r="L561" s="110">
        <f>H561*I561*J561*K561</f>
        <v>3611.11</v>
      </c>
      <c r="M561" s="111"/>
      <c r="N561" s="111"/>
    </row>
    <row r="562" spans="1:15" ht="15.75">
      <c r="B562" s="106">
        <v>541</v>
      </c>
      <c r="C562" s="107">
        <v>53</v>
      </c>
      <c r="D562" s="108"/>
      <c r="E562" s="25"/>
      <c r="F562" s="25"/>
      <c r="G562" s="112" t="s">
        <v>752</v>
      </c>
      <c r="H562" s="112">
        <v>111.11</v>
      </c>
      <c r="I562" s="112">
        <v>1</v>
      </c>
      <c r="J562" s="112">
        <v>1</v>
      </c>
      <c r="K562" s="112">
        <v>1</v>
      </c>
      <c r="L562" s="110">
        <f>H562*I562*J562*K562</f>
        <v>111.11</v>
      </c>
      <c r="M562" s="111"/>
      <c r="N562" s="111"/>
    </row>
    <row r="563" spans="1:15" ht="24">
      <c r="B563" s="106"/>
      <c r="C563" s="107"/>
      <c r="D563" s="108"/>
      <c r="E563" s="25"/>
      <c r="F563" s="25"/>
      <c r="G563" s="304" t="s">
        <v>1002</v>
      </c>
      <c r="H563" s="112"/>
      <c r="I563" s="112"/>
      <c r="J563" s="112"/>
      <c r="K563" s="112"/>
      <c r="L563" s="110"/>
      <c r="M563" s="111"/>
      <c r="N563" s="111"/>
    </row>
    <row r="564" spans="1:15" s="138" customFormat="1" ht="89.25">
      <c r="B564" s="126">
        <v>542</v>
      </c>
      <c r="C564" s="127">
        <v>54</v>
      </c>
      <c r="D564" s="135" t="s">
        <v>160</v>
      </c>
      <c r="E564" s="129" t="s">
        <v>159</v>
      </c>
      <c r="F564" s="130" t="s">
        <v>753</v>
      </c>
      <c r="G564" s="131" t="s">
        <v>593</v>
      </c>
      <c r="H564" s="137" t="s">
        <v>671</v>
      </c>
      <c r="I564" s="131"/>
      <c r="J564" s="131"/>
      <c r="K564" s="131"/>
      <c r="L564" s="131">
        <f>SUM(L565:L566)</f>
        <v>22000</v>
      </c>
      <c r="M564" s="133">
        <v>22000</v>
      </c>
      <c r="N564" s="134">
        <v>22000</v>
      </c>
    </row>
    <row r="565" spans="1:15" ht="15.75">
      <c r="A565" s="204"/>
      <c r="B565" s="205"/>
      <c r="C565" s="207"/>
      <c r="D565" s="208"/>
      <c r="E565" s="209"/>
      <c r="F565" s="209"/>
      <c r="G565" s="206" t="s">
        <v>594</v>
      </c>
      <c r="H565" s="206">
        <v>11000</v>
      </c>
      <c r="I565" s="206">
        <v>1</v>
      </c>
      <c r="J565" s="206">
        <v>1</v>
      </c>
      <c r="K565" s="206">
        <v>1</v>
      </c>
      <c r="L565" s="210">
        <f>H565*I565*J565*K565</f>
        <v>11000</v>
      </c>
      <c r="M565" s="211"/>
      <c r="N565" s="211">
        <v>11000</v>
      </c>
      <c r="O565" s="204"/>
    </row>
    <row r="566" spans="1:15" ht="36">
      <c r="A566" s="204"/>
      <c r="B566" s="205"/>
      <c r="C566" s="207"/>
      <c r="D566" s="208"/>
      <c r="E566" s="209"/>
      <c r="F566" s="209"/>
      <c r="G566" s="206" t="s">
        <v>595</v>
      </c>
      <c r="H566" s="206">
        <v>11000</v>
      </c>
      <c r="I566" s="206">
        <v>1</v>
      </c>
      <c r="J566" s="206">
        <v>1</v>
      </c>
      <c r="K566" s="206">
        <v>1</v>
      </c>
      <c r="L566" s="210">
        <f t="shared" ref="L566" si="35">H566*I566*J566*K566</f>
        <v>11000</v>
      </c>
      <c r="M566" s="211"/>
      <c r="N566" s="211">
        <v>11000</v>
      </c>
      <c r="O566" s="204"/>
    </row>
    <row r="567" spans="1:15" ht="15.75">
      <c r="A567" s="204"/>
      <c r="B567" s="205"/>
      <c r="C567" s="207"/>
      <c r="D567" s="208"/>
      <c r="E567" s="209"/>
      <c r="F567" s="209"/>
      <c r="G567" s="305" t="s">
        <v>1003</v>
      </c>
      <c r="H567" s="206"/>
      <c r="I567" s="206"/>
      <c r="J567" s="206"/>
      <c r="K567" s="206"/>
      <c r="L567" s="210"/>
      <c r="M567" s="211"/>
      <c r="N567" s="211"/>
      <c r="O567" s="204"/>
    </row>
    <row r="568" spans="1:15" s="138" customFormat="1" ht="89.25">
      <c r="B568" s="126"/>
      <c r="C568" s="127" t="s">
        <v>870</v>
      </c>
      <c r="D568" s="135" t="s">
        <v>868</v>
      </c>
      <c r="E568" s="129" t="s">
        <v>871</v>
      </c>
      <c r="F568" s="130" t="s">
        <v>886</v>
      </c>
      <c r="G568" s="131" t="s">
        <v>887</v>
      </c>
      <c r="H568" s="137" t="s">
        <v>671</v>
      </c>
      <c r="I568" s="131"/>
      <c r="J568" s="131"/>
      <c r="K568" s="131"/>
      <c r="L568" s="131">
        <f>SUM(L569:L569)</f>
        <v>11000</v>
      </c>
      <c r="M568" s="133">
        <v>11000</v>
      </c>
      <c r="N568" s="134">
        <v>11000</v>
      </c>
    </row>
    <row r="569" spans="1:15" ht="24">
      <c r="A569" s="204"/>
      <c r="B569" s="205"/>
      <c r="C569" s="207"/>
      <c r="D569" s="208"/>
      <c r="E569" s="209"/>
      <c r="F569" s="209"/>
      <c r="G569" s="206" t="s">
        <v>871</v>
      </c>
      <c r="H569" s="206">
        <v>11000</v>
      </c>
      <c r="I569" s="206">
        <v>1</v>
      </c>
      <c r="J569" s="206">
        <v>1</v>
      </c>
      <c r="K569" s="206">
        <v>1</v>
      </c>
      <c r="L569" s="210">
        <f>H569*I569*J569*K569</f>
        <v>11000</v>
      </c>
      <c r="M569" s="211"/>
      <c r="N569" s="211">
        <v>11000</v>
      </c>
      <c r="O569" s="204"/>
    </row>
    <row r="570" spans="1:15" ht="15.75">
      <c r="A570" s="204"/>
      <c r="B570" s="205"/>
      <c r="C570" s="207"/>
      <c r="D570" s="208"/>
      <c r="E570" s="209"/>
      <c r="F570" s="209"/>
      <c r="G570" s="305" t="s">
        <v>1003</v>
      </c>
      <c r="H570" s="206"/>
      <c r="I570" s="206"/>
      <c r="J570" s="206"/>
      <c r="K570" s="206"/>
      <c r="L570" s="210"/>
      <c r="M570" s="211"/>
      <c r="N570" s="211"/>
      <c r="O570" s="204"/>
    </row>
    <row r="571" spans="1:15" s="138" customFormat="1" ht="89.25">
      <c r="B571" s="126"/>
      <c r="C571" s="127" t="s">
        <v>888</v>
      </c>
      <c r="D571" s="135" t="s">
        <v>869</v>
      </c>
      <c r="E571" s="129" t="s">
        <v>872</v>
      </c>
      <c r="F571" s="130" t="s">
        <v>886</v>
      </c>
      <c r="G571" s="131" t="s">
        <v>887</v>
      </c>
      <c r="H571" s="137" t="s">
        <v>671</v>
      </c>
      <c r="I571" s="131"/>
      <c r="J571" s="131"/>
      <c r="K571" s="131"/>
      <c r="L571" s="131">
        <f>SUM(L572:L572)</f>
        <v>11000</v>
      </c>
      <c r="M571" s="133">
        <v>11000</v>
      </c>
      <c r="N571" s="134">
        <v>11000</v>
      </c>
    </row>
    <row r="572" spans="1:15" ht="24">
      <c r="A572" s="204"/>
      <c r="B572" s="205"/>
      <c r="C572" s="207"/>
      <c r="D572" s="208"/>
      <c r="E572" s="209"/>
      <c r="F572" s="209"/>
      <c r="G572" s="206" t="s">
        <v>872</v>
      </c>
      <c r="H572" s="206">
        <v>11000</v>
      </c>
      <c r="I572" s="206">
        <v>1</v>
      </c>
      <c r="J572" s="206">
        <v>1</v>
      </c>
      <c r="K572" s="206">
        <v>1</v>
      </c>
      <c r="L572" s="210">
        <f>H572*I572*J572*K572</f>
        <v>11000</v>
      </c>
      <c r="M572" s="211"/>
      <c r="N572" s="211">
        <v>11000</v>
      </c>
      <c r="O572" s="204"/>
    </row>
    <row r="573" spans="1:15" ht="15.75">
      <c r="A573" s="204"/>
      <c r="B573" s="205"/>
      <c r="C573" s="207"/>
      <c r="D573" s="208"/>
      <c r="E573" s="209"/>
      <c r="F573" s="209"/>
      <c r="G573" s="305" t="s">
        <v>1003</v>
      </c>
      <c r="H573" s="206"/>
      <c r="I573" s="206"/>
      <c r="J573" s="206"/>
      <c r="K573" s="206"/>
      <c r="L573" s="210"/>
      <c r="M573" s="211"/>
      <c r="N573" s="211"/>
      <c r="O573" s="204"/>
    </row>
    <row r="574" spans="1:15" s="138" customFormat="1" ht="38.25">
      <c r="B574" s="126">
        <v>547</v>
      </c>
      <c r="C574" s="127">
        <v>55</v>
      </c>
      <c r="D574" s="135" t="s">
        <v>158</v>
      </c>
      <c r="E574" s="129" t="s">
        <v>157</v>
      </c>
      <c r="F574" s="136" t="s">
        <v>754</v>
      </c>
      <c r="G574" s="131" t="s">
        <v>647</v>
      </c>
      <c r="H574" s="137" t="s">
        <v>671</v>
      </c>
      <c r="I574" s="131"/>
      <c r="J574" s="131"/>
      <c r="K574" s="131"/>
      <c r="L574" s="131">
        <f>SUM(L575:L576)</f>
        <v>92.829999999999984</v>
      </c>
      <c r="M574" s="133">
        <v>464.17</v>
      </c>
      <c r="N574" s="134">
        <v>278.49</v>
      </c>
    </row>
    <row r="575" spans="1:15" ht="15.75">
      <c r="B575" s="106">
        <v>548</v>
      </c>
      <c r="C575" s="107">
        <v>55</v>
      </c>
      <c r="D575" s="108"/>
      <c r="E575" s="25"/>
      <c r="F575" s="25"/>
      <c r="G575" s="112" t="s">
        <v>471</v>
      </c>
      <c r="H575" s="112">
        <v>1.19</v>
      </c>
      <c r="I575" s="112">
        <v>10</v>
      </c>
      <c r="J575" s="112">
        <v>1</v>
      </c>
      <c r="K575" s="112">
        <v>5</v>
      </c>
      <c r="L575" s="110">
        <f>H575*I575*J575*K575</f>
        <v>59.499999999999993</v>
      </c>
      <c r="M575" s="111"/>
      <c r="N575" s="111"/>
    </row>
    <row r="576" spans="1:15" ht="15.75">
      <c r="B576" s="106">
        <v>549</v>
      </c>
      <c r="C576" s="107">
        <v>55</v>
      </c>
      <c r="D576" s="108"/>
      <c r="E576" s="25"/>
      <c r="F576" s="25"/>
      <c r="G576" s="112" t="s">
        <v>459</v>
      </c>
      <c r="H576" s="112">
        <v>16.664999999999999</v>
      </c>
      <c r="I576" s="112">
        <v>2</v>
      </c>
      <c r="J576" s="112">
        <v>1</v>
      </c>
      <c r="K576" s="112">
        <v>1</v>
      </c>
      <c r="L576" s="110">
        <f>H576*I576*J576*K576</f>
        <v>33.33</v>
      </c>
      <c r="M576" s="111"/>
      <c r="N576" s="111"/>
    </row>
    <row r="577" spans="2:14" s="138" customFormat="1" ht="76.5">
      <c r="B577" s="126">
        <v>550</v>
      </c>
      <c r="C577" s="127">
        <v>56</v>
      </c>
      <c r="D577" s="135" t="s">
        <v>155</v>
      </c>
      <c r="E577" s="129" t="s">
        <v>156</v>
      </c>
      <c r="F577" s="129" t="s">
        <v>755</v>
      </c>
      <c r="G577" s="131" t="s">
        <v>596</v>
      </c>
      <c r="H577" s="137" t="s">
        <v>671</v>
      </c>
      <c r="I577" s="131"/>
      <c r="J577" s="131"/>
      <c r="K577" s="131"/>
      <c r="L577" s="139">
        <f>SUM(L578:L592)</f>
        <v>19562.891999999996</v>
      </c>
      <c r="M577" s="133">
        <v>19562.89</v>
      </c>
      <c r="N577" s="134">
        <v>19562.89</v>
      </c>
    </row>
    <row r="578" spans="2:14" ht="15.75">
      <c r="B578" s="106">
        <v>551</v>
      </c>
      <c r="C578" s="107">
        <v>56</v>
      </c>
      <c r="D578" s="108"/>
      <c r="E578" s="25"/>
      <c r="F578" s="25"/>
      <c r="G578" s="112" t="s">
        <v>453</v>
      </c>
      <c r="H578" s="112">
        <v>25</v>
      </c>
      <c r="I578" s="110">
        <v>2</v>
      </c>
      <c r="J578" s="110">
        <v>4</v>
      </c>
      <c r="K578" s="112">
        <v>5</v>
      </c>
      <c r="L578" s="110">
        <f>H578*I578*J578*K578</f>
        <v>1000</v>
      </c>
      <c r="M578" s="111"/>
      <c r="N578" s="111"/>
    </row>
    <row r="579" spans="2:14" ht="15.75">
      <c r="B579" s="106">
        <v>552</v>
      </c>
      <c r="C579" s="107">
        <v>56</v>
      </c>
      <c r="D579" s="108"/>
      <c r="E579" s="25"/>
      <c r="F579" s="25"/>
      <c r="G579" s="112" t="s">
        <v>462</v>
      </c>
      <c r="H579" s="112">
        <v>25</v>
      </c>
      <c r="I579" s="110">
        <v>1</v>
      </c>
      <c r="J579" s="110">
        <v>4</v>
      </c>
      <c r="K579" s="112">
        <v>5</v>
      </c>
      <c r="L579" s="110">
        <f t="shared" ref="L579:L591" si="36">H579*I579*J579*K579</f>
        <v>500</v>
      </c>
      <c r="M579" s="111"/>
      <c r="N579" s="111"/>
    </row>
    <row r="580" spans="2:14" ht="15.75">
      <c r="B580" s="106">
        <v>553</v>
      </c>
      <c r="C580" s="107">
        <v>56</v>
      </c>
      <c r="D580" s="108"/>
      <c r="E580" s="25"/>
      <c r="F580" s="25"/>
      <c r="G580" s="112" t="s">
        <v>429</v>
      </c>
      <c r="H580" s="112">
        <v>4</v>
      </c>
      <c r="I580" s="110">
        <v>30</v>
      </c>
      <c r="J580" s="110">
        <v>4</v>
      </c>
      <c r="K580" s="112">
        <v>5</v>
      </c>
      <c r="L580" s="110">
        <f t="shared" si="36"/>
        <v>2400</v>
      </c>
      <c r="M580" s="111"/>
      <c r="N580" s="111"/>
    </row>
    <row r="581" spans="2:14" ht="15.75">
      <c r="B581" s="106">
        <v>554</v>
      </c>
      <c r="C581" s="107">
        <v>56</v>
      </c>
      <c r="D581" s="108"/>
      <c r="E581" s="25"/>
      <c r="F581" s="25"/>
      <c r="G581" s="112" t="s">
        <v>430</v>
      </c>
      <c r="H581" s="112">
        <v>8</v>
      </c>
      <c r="I581" s="110">
        <v>30</v>
      </c>
      <c r="J581" s="110">
        <v>4</v>
      </c>
      <c r="K581" s="112">
        <v>5</v>
      </c>
      <c r="L581" s="110">
        <f>H581*I581*J581*K581</f>
        <v>4800</v>
      </c>
      <c r="M581" s="111"/>
      <c r="N581" s="111"/>
    </row>
    <row r="582" spans="2:14" ht="24">
      <c r="B582" s="106">
        <v>555</v>
      </c>
      <c r="C582" s="107">
        <v>56</v>
      </c>
      <c r="D582" s="108"/>
      <c r="E582" s="25"/>
      <c r="F582" s="25"/>
      <c r="G582" s="112" t="s">
        <v>431</v>
      </c>
      <c r="H582" s="149">
        <v>10</v>
      </c>
      <c r="I582" s="110">
        <v>26</v>
      </c>
      <c r="J582" s="110">
        <v>4</v>
      </c>
      <c r="K582" s="112">
        <v>5</v>
      </c>
      <c r="L582" s="110">
        <f t="shared" si="36"/>
        <v>5200</v>
      </c>
      <c r="M582" s="111"/>
      <c r="N582" s="111"/>
    </row>
    <row r="583" spans="2:14" ht="15.75">
      <c r="B583" s="106">
        <v>556</v>
      </c>
      <c r="C583" s="107">
        <v>56</v>
      </c>
      <c r="D583" s="108"/>
      <c r="E583" s="25"/>
      <c r="F583" s="25"/>
      <c r="G583" s="112" t="s">
        <v>432</v>
      </c>
      <c r="H583" s="112">
        <v>8</v>
      </c>
      <c r="I583" s="110">
        <v>1</v>
      </c>
      <c r="J583" s="110">
        <v>4</v>
      </c>
      <c r="K583" s="112">
        <v>5</v>
      </c>
      <c r="L583" s="110">
        <f t="shared" si="36"/>
        <v>160</v>
      </c>
      <c r="M583" s="111"/>
      <c r="N583" s="111"/>
    </row>
    <row r="584" spans="2:14" ht="15.75">
      <c r="B584" s="106">
        <v>557</v>
      </c>
      <c r="C584" s="107">
        <v>56</v>
      </c>
      <c r="D584" s="108"/>
      <c r="E584" s="25"/>
      <c r="F584" s="25"/>
      <c r="G584" s="112" t="s">
        <v>463</v>
      </c>
      <c r="H584" s="112">
        <v>119</v>
      </c>
      <c r="I584" s="110">
        <v>2</v>
      </c>
      <c r="J584" s="110">
        <v>1</v>
      </c>
      <c r="K584" s="112">
        <v>7</v>
      </c>
      <c r="L584" s="110">
        <f t="shared" si="36"/>
        <v>1666</v>
      </c>
      <c r="M584" s="111"/>
      <c r="N584" s="111"/>
    </row>
    <row r="585" spans="2:14" ht="15.75">
      <c r="B585" s="106">
        <v>558</v>
      </c>
      <c r="C585" s="107">
        <v>56</v>
      </c>
      <c r="D585" s="108"/>
      <c r="E585" s="25"/>
      <c r="F585" s="25"/>
      <c r="G585" s="112" t="s">
        <v>434</v>
      </c>
      <c r="H585" s="112">
        <v>10</v>
      </c>
      <c r="I585" s="110">
        <v>26</v>
      </c>
      <c r="J585" s="110">
        <v>4</v>
      </c>
      <c r="K585" s="112">
        <v>1</v>
      </c>
      <c r="L585" s="110">
        <f t="shared" si="36"/>
        <v>1040</v>
      </c>
      <c r="M585" s="111"/>
      <c r="N585" s="111"/>
    </row>
    <row r="586" spans="2:14" ht="15.75">
      <c r="B586" s="106">
        <v>559</v>
      </c>
      <c r="C586" s="107">
        <v>56</v>
      </c>
      <c r="D586" s="108"/>
      <c r="E586" s="25"/>
      <c r="F586" s="25"/>
      <c r="G586" s="112" t="s">
        <v>455</v>
      </c>
      <c r="H586" s="112">
        <v>260</v>
      </c>
      <c r="I586" s="110">
        <v>2</v>
      </c>
      <c r="J586" s="110">
        <v>1</v>
      </c>
      <c r="K586" s="112">
        <v>1</v>
      </c>
      <c r="L586" s="110">
        <f t="shared" si="36"/>
        <v>520</v>
      </c>
      <c r="M586" s="111"/>
      <c r="N586" s="111"/>
    </row>
    <row r="587" spans="2:14" ht="15.75">
      <c r="B587" s="106">
        <v>560</v>
      </c>
      <c r="C587" s="107">
        <v>56</v>
      </c>
      <c r="D587" s="108"/>
      <c r="E587" s="25"/>
      <c r="F587" s="25"/>
      <c r="G587" s="112" t="s">
        <v>435</v>
      </c>
      <c r="H587" s="112">
        <v>70</v>
      </c>
      <c r="I587" s="110">
        <v>1</v>
      </c>
      <c r="J587" s="110">
        <v>4</v>
      </c>
      <c r="K587" s="112">
        <v>5</v>
      </c>
      <c r="L587" s="110">
        <f t="shared" si="36"/>
        <v>1400</v>
      </c>
      <c r="M587" s="111"/>
      <c r="N587" s="111"/>
    </row>
    <row r="588" spans="2:14" ht="15.75">
      <c r="B588" s="106">
        <v>561</v>
      </c>
      <c r="C588" s="107">
        <v>56</v>
      </c>
      <c r="D588" s="108"/>
      <c r="E588" s="25"/>
      <c r="F588" s="25"/>
      <c r="G588" s="112" t="s">
        <v>443</v>
      </c>
      <c r="H588" s="112">
        <v>8.33</v>
      </c>
      <c r="I588" s="110">
        <v>3</v>
      </c>
      <c r="J588" s="110">
        <v>4</v>
      </c>
      <c r="K588" s="112">
        <v>1</v>
      </c>
      <c r="L588" s="110">
        <f t="shared" si="36"/>
        <v>99.960000000000008</v>
      </c>
      <c r="M588" s="111"/>
      <c r="N588" s="111"/>
    </row>
    <row r="589" spans="2:14" ht="15.75">
      <c r="B589" s="106">
        <v>562</v>
      </c>
      <c r="C589" s="107">
        <v>56</v>
      </c>
      <c r="D589" s="108"/>
      <c r="E589" s="25"/>
      <c r="F589" s="25"/>
      <c r="G589" s="112" t="s">
        <v>464</v>
      </c>
      <c r="H589" s="112">
        <f>305.582</f>
        <v>305.58199999999999</v>
      </c>
      <c r="I589" s="112">
        <v>1</v>
      </c>
      <c r="J589" s="110">
        <v>1</v>
      </c>
      <c r="K589" s="112">
        <v>1</v>
      </c>
      <c r="L589" s="110">
        <f t="shared" si="36"/>
        <v>305.58199999999999</v>
      </c>
      <c r="M589" s="111"/>
      <c r="N589" s="111"/>
    </row>
    <row r="590" spans="2:14" ht="15.75">
      <c r="B590" s="106">
        <v>563</v>
      </c>
      <c r="C590" s="107">
        <v>56</v>
      </c>
      <c r="D590" s="108"/>
      <c r="E590" s="25"/>
      <c r="F590" s="25"/>
      <c r="G590" s="112" t="s">
        <v>465</v>
      </c>
      <c r="H590" s="112">
        <v>166.67</v>
      </c>
      <c r="I590" s="112">
        <v>1</v>
      </c>
      <c r="J590" s="110">
        <v>1</v>
      </c>
      <c r="K590" s="112">
        <v>1</v>
      </c>
      <c r="L590" s="110">
        <f t="shared" si="36"/>
        <v>166.67</v>
      </c>
      <c r="M590" s="111"/>
      <c r="N590" s="111"/>
    </row>
    <row r="591" spans="2:14" ht="15.75">
      <c r="B591" s="106">
        <v>564</v>
      </c>
      <c r="C591" s="107">
        <v>56</v>
      </c>
      <c r="D591" s="108"/>
      <c r="E591" s="25"/>
      <c r="F591" s="25"/>
      <c r="G591" s="112" t="s">
        <v>447</v>
      </c>
      <c r="H591" s="112">
        <v>1.19</v>
      </c>
      <c r="I591" s="112">
        <v>10</v>
      </c>
      <c r="J591" s="110">
        <v>4</v>
      </c>
      <c r="K591" s="112">
        <v>5</v>
      </c>
      <c r="L591" s="110">
        <f t="shared" si="36"/>
        <v>237.99999999999997</v>
      </c>
      <c r="M591" s="111"/>
      <c r="N591" s="111"/>
    </row>
    <row r="592" spans="2:14" ht="15.75">
      <c r="B592" s="106">
        <v>565</v>
      </c>
      <c r="C592" s="107">
        <v>56</v>
      </c>
      <c r="D592" s="108"/>
      <c r="E592" s="25"/>
      <c r="F592" s="25"/>
      <c r="G592" s="112" t="s">
        <v>459</v>
      </c>
      <c r="H592" s="112">
        <v>16.670000000000002</v>
      </c>
      <c r="I592" s="112">
        <v>1</v>
      </c>
      <c r="J592" s="110">
        <v>4</v>
      </c>
      <c r="K592" s="112">
        <v>1</v>
      </c>
      <c r="L592" s="110">
        <f>H592*I592*J592*K592</f>
        <v>66.680000000000007</v>
      </c>
      <c r="M592" s="111"/>
      <c r="N592" s="111"/>
    </row>
    <row r="593" spans="2:14" s="138" customFormat="1" ht="60">
      <c r="B593" s="126">
        <v>566</v>
      </c>
      <c r="C593" s="127">
        <v>57</v>
      </c>
      <c r="D593" s="135" t="s">
        <v>154</v>
      </c>
      <c r="E593" s="129" t="s">
        <v>153</v>
      </c>
      <c r="F593" s="136" t="s">
        <v>756</v>
      </c>
      <c r="G593" s="131" t="s">
        <v>597</v>
      </c>
      <c r="H593" s="137" t="s">
        <v>671</v>
      </c>
      <c r="I593" s="131"/>
      <c r="J593" s="131"/>
      <c r="K593" s="131"/>
      <c r="L593" s="131">
        <f>SUM(L594:L608)</f>
        <v>19562.87</v>
      </c>
      <c r="M593" s="133">
        <v>19563.89</v>
      </c>
      <c r="N593" s="134">
        <v>19563.89</v>
      </c>
    </row>
    <row r="594" spans="2:14" ht="15.75">
      <c r="B594" s="106">
        <v>567</v>
      </c>
      <c r="C594" s="107">
        <v>57</v>
      </c>
      <c r="D594" s="108"/>
      <c r="E594" s="25"/>
      <c r="F594" s="25"/>
      <c r="G594" s="112" t="s">
        <v>453</v>
      </c>
      <c r="H594" s="112">
        <v>25</v>
      </c>
      <c r="I594" s="110">
        <v>2</v>
      </c>
      <c r="J594" s="110">
        <v>4</v>
      </c>
      <c r="K594" s="112">
        <v>5</v>
      </c>
      <c r="L594" s="110">
        <f>H594*I594*J594*K594</f>
        <v>1000</v>
      </c>
      <c r="M594" s="111"/>
      <c r="N594" s="111"/>
    </row>
    <row r="595" spans="2:14" ht="15.75">
      <c r="B595" s="106">
        <v>568</v>
      </c>
      <c r="C595" s="107">
        <v>57</v>
      </c>
      <c r="D595" s="108"/>
      <c r="E595" s="25"/>
      <c r="F595" s="25"/>
      <c r="G595" s="112" t="s">
        <v>462</v>
      </c>
      <c r="H595" s="112">
        <v>25</v>
      </c>
      <c r="I595" s="110">
        <v>1</v>
      </c>
      <c r="J595" s="110">
        <v>4</v>
      </c>
      <c r="K595" s="112">
        <v>5</v>
      </c>
      <c r="L595" s="110">
        <f t="shared" ref="L595:L608" si="37">H595*I595*J595*K595</f>
        <v>500</v>
      </c>
      <c r="M595" s="111"/>
      <c r="N595" s="111"/>
    </row>
    <row r="596" spans="2:14" ht="15.75">
      <c r="B596" s="106">
        <v>569</v>
      </c>
      <c r="C596" s="107">
        <v>57</v>
      </c>
      <c r="D596" s="108"/>
      <c r="E596" s="25"/>
      <c r="F596" s="25"/>
      <c r="G596" s="112" t="s">
        <v>429</v>
      </c>
      <c r="H596" s="112">
        <v>4</v>
      </c>
      <c r="I596" s="110">
        <v>30</v>
      </c>
      <c r="J596" s="110">
        <v>4</v>
      </c>
      <c r="K596" s="112">
        <v>5</v>
      </c>
      <c r="L596" s="110">
        <f t="shared" si="37"/>
        <v>2400</v>
      </c>
      <c r="M596" s="111"/>
      <c r="N596" s="111"/>
    </row>
    <row r="597" spans="2:14" ht="15.75">
      <c r="B597" s="106">
        <v>570</v>
      </c>
      <c r="C597" s="107">
        <v>57</v>
      </c>
      <c r="D597" s="108"/>
      <c r="E597" s="25"/>
      <c r="F597" s="25"/>
      <c r="G597" s="112" t="s">
        <v>430</v>
      </c>
      <c r="H597" s="112">
        <v>8</v>
      </c>
      <c r="I597" s="110">
        <v>30</v>
      </c>
      <c r="J597" s="110">
        <v>4</v>
      </c>
      <c r="K597" s="112">
        <v>5</v>
      </c>
      <c r="L597" s="110">
        <f t="shared" si="37"/>
        <v>4800</v>
      </c>
      <c r="M597" s="111"/>
      <c r="N597" s="111"/>
    </row>
    <row r="598" spans="2:14" ht="24">
      <c r="B598" s="106">
        <v>571</v>
      </c>
      <c r="C598" s="107">
        <v>57</v>
      </c>
      <c r="D598" s="108"/>
      <c r="E598" s="25"/>
      <c r="F598" s="25"/>
      <c r="G598" s="112" t="s">
        <v>431</v>
      </c>
      <c r="H598" s="112">
        <v>10</v>
      </c>
      <c r="I598" s="110">
        <v>26</v>
      </c>
      <c r="J598" s="110">
        <v>4</v>
      </c>
      <c r="K598" s="112">
        <v>5</v>
      </c>
      <c r="L598" s="110">
        <f t="shared" si="37"/>
        <v>5200</v>
      </c>
      <c r="M598" s="111"/>
      <c r="N598" s="111"/>
    </row>
    <row r="599" spans="2:14" ht="15.75">
      <c r="B599" s="106">
        <v>572</v>
      </c>
      <c r="C599" s="107">
        <v>57</v>
      </c>
      <c r="D599" s="108"/>
      <c r="E599" s="25"/>
      <c r="F599" s="25"/>
      <c r="G599" s="112" t="s">
        <v>432</v>
      </c>
      <c r="H599" s="112">
        <v>8</v>
      </c>
      <c r="I599" s="110">
        <v>1</v>
      </c>
      <c r="J599" s="110">
        <v>4</v>
      </c>
      <c r="K599" s="112">
        <v>5</v>
      </c>
      <c r="L599" s="110">
        <f t="shared" si="37"/>
        <v>160</v>
      </c>
      <c r="M599" s="111"/>
      <c r="N599" s="111"/>
    </row>
    <row r="600" spans="2:14" ht="15.75">
      <c r="B600" s="106">
        <v>573</v>
      </c>
      <c r="C600" s="107">
        <v>57</v>
      </c>
      <c r="D600" s="108"/>
      <c r="E600" s="25"/>
      <c r="F600" s="25"/>
      <c r="G600" s="112" t="s">
        <v>463</v>
      </c>
      <c r="H600" s="112">
        <v>119</v>
      </c>
      <c r="I600" s="110">
        <v>2</v>
      </c>
      <c r="J600" s="110">
        <v>1</v>
      </c>
      <c r="K600" s="112">
        <v>7</v>
      </c>
      <c r="L600" s="110">
        <f t="shared" si="37"/>
        <v>1666</v>
      </c>
      <c r="M600" s="111"/>
      <c r="N600" s="111"/>
    </row>
    <row r="601" spans="2:14" ht="15.75">
      <c r="B601" s="106">
        <v>574</v>
      </c>
      <c r="C601" s="107">
        <v>57</v>
      </c>
      <c r="D601" s="108"/>
      <c r="E601" s="25"/>
      <c r="F601" s="25"/>
      <c r="G601" s="112" t="s">
        <v>434</v>
      </c>
      <c r="H601" s="112">
        <v>10</v>
      </c>
      <c r="I601" s="110">
        <v>26</v>
      </c>
      <c r="J601" s="110">
        <v>4</v>
      </c>
      <c r="K601" s="112">
        <v>1</v>
      </c>
      <c r="L601" s="110">
        <f t="shared" si="37"/>
        <v>1040</v>
      </c>
      <c r="M601" s="111"/>
      <c r="N601" s="111"/>
    </row>
    <row r="602" spans="2:14" ht="15.75">
      <c r="B602" s="106">
        <v>575</v>
      </c>
      <c r="C602" s="107">
        <v>57</v>
      </c>
      <c r="D602" s="108"/>
      <c r="E602" s="25"/>
      <c r="F602" s="25"/>
      <c r="G602" s="112" t="s">
        <v>455</v>
      </c>
      <c r="H602" s="112">
        <v>260</v>
      </c>
      <c r="I602" s="110">
        <v>2</v>
      </c>
      <c r="J602" s="110">
        <v>1</v>
      </c>
      <c r="K602" s="112">
        <v>1</v>
      </c>
      <c r="L602" s="110">
        <f t="shared" si="37"/>
        <v>520</v>
      </c>
      <c r="M602" s="111"/>
      <c r="N602" s="111"/>
    </row>
    <row r="603" spans="2:14" ht="15.75">
      <c r="B603" s="106">
        <v>576</v>
      </c>
      <c r="C603" s="107">
        <v>57</v>
      </c>
      <c r="D603" s="108"/>
      <c r="E603" s="25"/>
      <c r="F603" s="25"/>
      <c r="G603" s="112" t="s">
        <v>435</v>
      </c>
      <c r="H603" s="112">
        <v>70</v>
      </c>
      <c r="I603" s="110">
        <v>1</v>
      </c>
      <c r="J603" s="110">
        <v>4</v>
      </c>
      <c r="K603" s="112">
        <v>5</v>
      </c>
      <c r="L603" s="110">
        <f t="shared" si="37"/>
        <v>1400</v>
      </c>
      <c r="M603" s="111"/>
      <c r="N603" s="111"/>
    </row>
    <row r="604" spans="2:14" ht="15.75">
      <c r="B604" s="106">
        <v>577</v>
      </c>
      <c r="C604" s="107">
        <v>57</v>
      </c>
      <c r="D604" s="108"/>
      <c r="E604" s="25"/>
      <c r="F604" s="25"/>
      <c r="G604" s="112" t="s">
        <v>443</v>
      </c>
      <c r="H604" s="112">
        <v>8.33</v>
      </c>
      <c r="I604" s="110">
        <v>3</v>
      </c>
      <c r="J604" s="110">
        <v>4</v>
      </c>
      <c r="K604" s="112">
        <v>1</v>
      </c>
      <c r="L604" s="110">
        <f t="shared" si="37"/>
        <v>99.960000000000008</v>
      </c>
      <c r="M604" s="111"/>
      <c r="N604" s="111"/>
    </row>
    <row r="605" spans="2:14" ht="15.75">
      <c r="B605" s="106">
        <v>578</v>
      </c>
      <c r="C605" s="107">
        <v>57</v>
      </c>
      <c r="D605" s="108"/>
      <c r="E605" s="25"/>
      <c r="F605" s="25"/>
      <c r="G605" s="112" t="s">
        <v>464</v>
      </c>
      <c r="H605" s="112">
        <v>305.56</v>
      </c>
      <c r="I605" s="112">
        <v>1</v>
      </c>
      <c r="J605" s="110">
        <v>1</v>
      </c>
      <c r="K605" s="112">
        <v>1</v>
      </c>
      <c r="L605" s="110">
        <f t="shared" si="37"/>
        <v>305.56</v>
      </c>
      <c r="M605" s="111"/>
      <c r="N605" s="111"/>
    </row>
    <row r="606" spans="2:14" ht="15.75">
      <c r="B606" s="106">
        <v>579</v>
      </c>
      <c r="C606" s="107">
        <v>57</v>
      </c>
      <c r="D606" s="108"/>
      <c r="E606" s="25"/>
      <c r="F606" s="25"/>
      <c r="G606" s="112" t="s">
        <v>465</v>
      </c>
      <c r="H606" s="112">
        <v>166.67</v>
      </c>
      <c r="I606" s="112">
        <v>1</v>
      </c>
      <c r="J606" s="110">
        <v>1</v>
      </c>
      <c r="K606" s="112">
        <v>1</v>
      </c>
      <c r="L606" s="110">
        <f t="shared" si="37"/>
        <v>166.67</v>
      </c>
      <c r="M606" s="111"/>
      <c r="N606" s="111"/>
    </row>
    <row r="607" spans="2:14" ht="15.75">
      <c r="B607" s="106">
        <v>580</v>
      </c>
      <c r="C607" s="107">
        <v>57</v>
      </c>
      <c r="D607" s="108"/>
      <c r="E607" s="25"/>
      <c r="F607" s="25"/>
      <c r="G607" s="112" t="s">
        <v>447</v>
      </c>
      <c r="H607" s="112">
        <v>1.19</v>
      </c>
      <c r="I607" s="112">
        <v>10</v>
      </c>
      <c r="J607" s="110">
        <v>4</v>
      </c>
      <c r="K607" s="112">
        <v>5</v>
      </c>
      <c r="L607" s="110">
        <f t="shared" si="37"/>
        <v>237.99999999999997</v>
      </c>
      <c r="M607" s="111"/>
      <c r="N607" s="111"/>
    </row>
    <row r="608" spans="2:14" ht="15.75">
      <c r="B608" s="106">
        <v>581</v>
      </c>
      <c r="C608" s="107">
        <v>57</v>
      </c>
      <c r="D608" s="108"/>
      <c r="E608" s="25"/>
      <c r="F608" s="25"/>
      <c r="G608" s="112" t="s">
        <v>459</v>
      </c>
      <c r="H608" s="112">
        <v>16.670000000000002</v>
      </c>
      <c r="I608" s="112">
        <v>1</v>
      </c>
      <c r="J608" s="110">
        <v>4</v>
      </c>
      <c r="K608" s="112">
        <v>1</v>
      </c>
      <c r="L608" s="110">
        <f t="shared" si="37"/>
        <v>66.680000000000007</v>
      </c>
      <c r="M608" s="111"/>
      <c r="N608" s="111"/>
    </row>
    <row r="609" spans="2:14" s="138" customFormat="1" ht="51">
      <c r="B609" s="126">
        <v>582</v>
      </c>
      <c r="C609" s="127">
        <v>58</v>
      </c>
      <c r="D609" s="135" t="s">
        <v>152</v>
      </c>
      <c r="E609" s="245" t="s">
        <v>757</v>
      </c>
      <c r="F609" s="136" t="s">
        <v>758</v>
      </c>
      <c r="G609" s="131" t="s">
        <v>598</v>
      </c>
      <c r="H609" s="137" t="s">
        <v>671</v>
      </c>
      <c r="I609" s="131"/>
      <c r="J609" s="131"/>
      <c r="K609" s="131"/>
      <c r="L609" s="131">
        <f>SUM(L610:L622)</f>
        <v>18499.990000000002</v>
      </c>
      <c r="M609" s="133">
        <v>92500</v>
      </c>
      <c r="N609" s="134">
        <v>55500</v>
      </c>
    </row>
    <row r="610" spans="2:14" ht="15.75">
      <c r="B610" s="106">
        <v>583</v>
      </c>
      <c r="C610" s="107">
        <v>58</v>
      </c>
      <c r="D610" s="108"/>
      <c r="E610" s="25"/>
      <c r="F610" s="25"/>
      <c r="G610" s="112" t="s">
        <v>759</v>
      </c>
      <c r="H610" s="112">
        <v>3611.11</v>
      </c>
      <c r="I610" s="112">
        <v>1</v>
      </c>
      <c r="J610" s="112">
        <v>1</v>
      </c>
      <c r="K610" s="112">
        <v>1</v>
      </c>
      <c r="L610" s="110">
        <f>H610*I610*J610*K610</f>
        <v>3611.11</v>
      </c>
      <c r="M610" s="111"/>
      <c r="N610" s="111"/>
    </row>
    <row r="611" spans="2:14" ht="24">
      <c r="B611" s="106">
        <v>584</v>
      </c>
      <c r="C611" s="107">
        <v>58</v>
      </c>
      <c r="D611" s="108"/>
      <c r="E611" s="25"/>
      <c r="F611" s="25"/>
      <c r="G611" s="110" t="s">
        <v>600</v>
      </c>
      <c r="H611" s="112" t="s">
        <v>671</v>
      </c>
      <c r="I611" s="110"/>
      <c r="J611" s="110"/>
      <c r="K611" s="110"/>
      <c r="L611" s="110"/>
      <c r="M611" s="111"/>
      <c r="N611" s="111"/>
    </row>
    <row r="612" spans="2:14" ht="15.75">
      <c r="B612" s="106">
        <v>585</v>
      </c>
      <c r="C612" s="107">
        <v>58</v>
      </c>
      <c r="D612" s="108"/>
      <c r="E612" s="25"/>
      <c r="F612" s="25"/>
      <c r="G612" s="112" t="s">
        <v>759</v>
      </c>
      <c r="H612" s="112">
        <v>3611.11</v>
      </c>
      <c r="I612" s="112">
        <v>1</v>
      </c>
      <c r="J612" s="112">
        <v>1</v>
      </c>
      <c r="K612" s="112">
        <v>1</v>
      </c>
      <c r="L612" s="110">
        <f t="shared" ref="L612:L621" si="38">H612*I612*J612*K612</f>
        <v>3611.11</v>
      </c>
      <c r="M612" s="111"/>
      <c r="N612" s="111"/>
    </row>
    <row r="613" spans="2:14" ht="15.75">
      <c r="B613" s="106">
        <v>586</v>
      </c>
      <c r="C613" s="107">
        <v>58</v>
      </c>
      <c r="D613" s="108"/>
      <c r="E613" s="25"/>
      <c r="F613" s="25"/>
      <c r="G613" s="112" t="s">
        <v>760</v>
      </c>
      <c r="H613" s="112">
        <v>111.11</v>
      </c>
      <c r="I613" s="112">
        <v>1</v>
      </c>
      <c r="J613" s="112">
        <v>1</v>
      </c>
      <c r="K613" s="112">
        <v>1</v>
      </c>
      <c r="L613" s="110">
        <f t="shared" si="38"/>
        <v>111.11</v>
      </c>
      <c r="M613" s="111"/>
      <c r="N613" s="111"/>
    </row>
    <row r="614" spans="2:14" ht="36">
      <c r="B614" s="106">
        <v>587</v>
      </c>
      <c r="C614" s="107">
        <v>58</v>
      </c>
      <c r="D614" s="108"/>
      <c r="E614" s="25"/>
      <c r="F614" s="25"/>
      <c r="G614" s="110" t="s">
        <v>602</v>
      </c>
      <c r="H614" s="112" t="s">
        <v>671</v>
      </c>
      <c r="I614" s="110"/>
      <c r="J614" s="110"/>
      <c r="K614" s="110"/>
      <c r="L614" s="110"/>
      <c r="M614" s="111"/>
      <c r="N614" s="111"/>
    </row>
    <row r="615" spans="2:14" ht="15.75">
      <c r="B615" s="106">
        <v>588</v>
      </c>
      <c r="C615" s="107">
        <v>58</v>
      </c>
      <c r="D615" s="108"/>
      <c r="E615" s="25"/>
      <c r="F615" s="25"/>
      <c r="G615" s="112" t="s">
        <v>759</v>
      </c>
      <c r="H615" s="112">
        <v>3611.11</v>
      </c>
      <c r="I615" s="112">
        <v>1</v>
      </c>
      <c r="J615" s="112">
        <v>1</v>
      </c>
      <c r="K615" s="112">
        <v>1</v>
      </c>
      <c r="L615" s="110">
        <f t="shared" si="38"/>
        <v>3611.11</v>
      </c>
      <c r="M615" s="111"/>
      <c r="N615" s="111"/>
    </row>
    <row r="616" spans="2:14" ht="15.75">
      <c r="B616" s="106">
        <v>589</v>
      </c>
      <c r="C616" s="107">
        <v>58</v>
      </c>
      <c r="D616" s="108"/>
      <c r="E616" s="25"/>
      <c r="F616" s="25"/>
      <c r="G616" s="112" t="s">
        <v>760</v>
      </c>
      <c r="H616" s="112">
        <v>111.11</v>
      </c>
      <c r="I616" s="112">
        <v>1</v>
      </c>
      <c r="J616" s="112">
        <v>1</v>
      </c>
      <c r="K616" s="112">
        <v>1</v>
      </c>
      <c r="L616" s="110">
        <f t="shared" si="38"/>
        <v>111.11</v>
      </c>
      <c r="M616" s="111"/>
      <c r="N616" s="111"/>
    </row>
    <row r="617" spans="2:14" ht="24">
      <c r="B617" s="106">
        <v>590</v>
      </c>
      <c r="C617" s="107">
        <v>58</v>
      </c>
      <c r="D617" s="108"/>
      <c r="E617" s="25"/>
      <c r="F617" s="25"/>
      <c r="G617" s="110" t="s">
        <v>603</v>
      </c>
      <c r="H617" s="112" t="s">
        <v>671</v>
      </c>
      <c r="I617" s="110"/>
      <c r="J617" s="110"/>
      <c r="K617" s="110"/>
      <c r="L617" s="110"/>
      <c r="M617" s="111"/>
      <c r="N617" s="111"/>
    </row>
    <row r="618" spans="2:14" ht="15.75">
      <c r="B618" s="106">
        <v>591</v>
      </c>
      <c r="C618" s="107">
        <v>58</v>
      </c>
      <c r="D618" s="108"/>
      <c r="E618" s="25"/>
      <c r="F618" s="25"/>
      <c r="G618" s="112" t="s">
        <v>759</v>
      </c>
      <c r="H618" s="112">
        <v>3611.11</v>
      </c>
      <c r="I618" s="112">
        <v>1</v>
      </c>
      <c r="J618" s="112">
        <v>1</v>
      </c>
      <c r="K618" s="112">
        <v>1</v>
      </c>
      <c r="L618" s="110">
        <f t="shared" si="38"/>
        <v>3611.11</v>
      </c>
      <c r="M618" s="111"/>
      <c r="N618" s="111"/>
    </row>
    <row r="619" spans="2:14" ht="15.75">
      <c r="B619" s="106">
        <v>592</v>
      </c>
      <c r="C619" s="107">
        <v>58</v>
      </c>
      <c r="D619" s="108"/>
      <c r="E619" s="25"/>
      <c r="F619" s="25"/>
      <c r="G619" s="112" t="s">
        <v>760</v>
      </c>
      <c r="H619" s="112">
        <v>111.11</v>
      </c>
      <c r="I619" s="112">
        <v>1</v>
      </c>
      <c r="J619" s="112">
        <v>1</v>
      </c>
      <c r="K619" s="112">
        <v>1</v>
      </c>
      <c r="L619" s="110">
        <f t="shared" si="38"/>
        <v>111.11</v>
      </c>
      <c r="M619" s="111"/>
      <c r="N619" s="111"/>
    </row>
    <row r="620" spans="2:14" ht="36">
      <c r="B620" s="106">
        <v>593</v>
      </c>
      <c r="C620" s="107">
        <v>58</v>
      </c>
      <c r="D620" s="108"/>
      <c r="E620" s="25"/>
      <c r="F620" s="25"/>
      <c r="G620" s="110" t="s">
        <v>604</v>
      </c>
      <c r="H620" s="112" t="s">
        <v>671</v>
      </c>
      <c r="I620" s="110"/>
      <c r="J620" s="110"/>
      <c r="K620" s="110"/>
      <c r="L620" s="110"/>
      <c r="M620" s="111"/>
      <c r="N620" s="111"/>
    </row>
    <row r="621" spans="2:14" ht="15.75">
      <c r="B621" s="106">
        <v>594</v>
      </c>
      <c r="C621" s="107">
        <v>58</v>
      </c>
      <c r="D621" s="108"/>
      <c r="E621" s="25"/>
      <c r="F621" s="25"/>
      <c r="G621" s="112" t="s">
        <v>759</v>
      </c>
      <c r="H621" s="112">
        <v>3611.11</v>
      </c>
      <c r="I621" s="112">
        <v>1</v>
      </c>
      <c r="J621" s="112">
        <v>1</v>
      </c>
      <c r="K621" s="112">
        <v>1</v>
      </c>
      <c r="L621" s="110">
        <f t="shared" si="38"/>
        <v>3611.11</v>
      </c>
      <c r="M621" s="111"/>
      <c r="N621" s="111"/>
    </row>
    <row r="622" spans="2:14" ht="15.75">
      <c r="B622" s="106">
        <v>595</v>
      </c>
      <c r="C622" s="107">
        <v>58</v>
      </c>
      <c r="D622" s="108"/>
      <c r="E622" s="25"/>
      <c r="F622" s="25"/>
      <c r="G622" s="112" t="s">
        <v>760</v>
      </c>
      <c r="H622" s="112">
        <v>111.11</v>
      </c>
      <c r="I622" s="112">
        <v>1</v>
      </c>
      <c r="J622" s="112">
        <v>1</v>
      </c>
      <c r="K622" s="112">
        <v>1</v>
      </c>
      <c r="L622" s="110">
        <f>H622*I622*J622*K622</f>
        <v>111.11</v>
      </c>
      <c r="M622" s="111"/>
      <c r="N622" s="111"/>
    </row>
    <row r="623" spans="2:14" s="138" customFormat="1" ht="38.25">
      <c r="B623" s="126">
        <v>596</v>
      </c>
      <c r="C623" s="127">
        <v>59</v>
      </c>
      <c r="D623" s="135" t="s">
        <v>150</v>
      </c>
      <c r="E623" s="129" t="s">
        <v>149</v>
      </c>
      <c r="F623" s="136" t="s">
        <v>761</v>
      </c>
      <c r="G623" s="131" t="s">
        <v>149</v>
      </c>
      <c r="H623" s="137" t="s">
        <v>671</v>
      </c>
      <c r="I623" s="131"/>
      <c r="J623" s="131"/>
      <c r="K623" s="131"/>
      <c r="L623" s="131">
        <f>SUM(L624:L625)</f>
        <v>11333.33</v>
      </c>
      <c r="M623" s="133">
        <v>56666.67</v>
      </c>
      <c r="N623" s="134">
        <v>33999.99</v>
      </c>
    </row>
    <row r="624" spans="2:14" ht="15.75">
      <c r="B624" s="106">
        <v>597</v>
      </c>
      <c r="C624" s="107">
        <v>59</v>
      </c>
      <c r="D624" s="108"/>
      <c r="E624" s="25"/>
      <c r="F624" s="25"/>
      <c r="G624" s="112" t="s">
        <v>599</v>
      </c>
      <c r="H624" s="112">
        <v>11144.44</v>
      </c>
      <c r="I624" s="112">
        <v>1</v>
      </c>
      <c r="J624" s="112">
        <v>1</v>
      </c>
      <c r="K624" s="112">
        <v>1</v>
      </c>
      <c r="L624" s="110">
        <f>H624*I624*J624*K624</f>
        <v>11144.44</v>
      </c>
      <c r="M624" s="111"/>
      <c r="N624" s="111"/>
    </row>
    <row r="625" spans="2:14" ht="15.75">
      <c r="B625" s="106">
        <v>598</v>
      </c>
      <c r="C625" s="107">
        <v>59</v>
      </c>
      <c r="D625" s="108"/>
      <c r="E625" s="25"/>
      <c r="F625" s="25"/>
      <c r="G625" s="112" t="s">
        <v>601</v>
      </c>
      <c r="H625" s="112">
        <v>188.89</v>
      </c>
      <c r="I625" s="112">
        <v>1</v>
      </c>
      <c r="J625" s="112">
        <v>1</v>
      </c>
      <c r="K625" s="112">
        <v>1</v>
      </c>
      <c r="L625" s="110">
        <f>H625*I625*J625*K625</f>
        <v>188.89</v>
      </c>
      <c r="M625" s="111"/>
      <c r="N625" s="111"/>
    </row>
    <row r="626" spans="2:14" s="138" customFormat="1" ht="63.75">
      <c r="B626" s="126">
        <v>599</v>
      </c>
      <c r="C626" s="127">
        <v>60</v>
      </c>
      <c r="D626" s="135" t="s">
        <v>148</v>
      </c>
      <c r="E626" s="129" t="s">
        <v>147</v>
      </c>
      <c r="F626" s="136" t="s">
        <v>762</v>
      </c>
      <c r="G626" s="131" t="s">
        <v>605</v>
      </c>
      <c r="H626" s="137" t="s">
        <v>671</v>
      </c>
      <c r="I626" s="131"/>
      <c r="J626" s="131"/>
      <c r="K626" s="131"/>
      <c r="L626" s="131">
        <f>SUM(L627:L641)</f>
        <v>5186.92</v>
      </c>
      <c r="M626" s="133">
        <v>5186.92</v>
      </c>
      <c r="N626" s="134">
        <v>5186.92</v>
      </c>
    </row>
    <row r="627" spans="2:14" ht="15.75">
      <c r="B627" s="106">
        <v>600</v>
      </c>
      <c r="C627" s="107">
        <v>60</v>
      </c>
      <c r="D627" s="108"/>
      <c r="E627" s="25"/>
      <c r="F627" s="25"/>
      <c r="G627" s="112" t="s">
        <v>453</v>
      </c>
      <c r="H627" s="112">
        <v>25</v>
      </c>
      <c r="I627" s="110">
        <v>2</v>
      </c>
      <c r="J627" s="110">
        <v>1</v>
      </c>
      <c r="K627" s="112">
        <v>3</v>
      </c>
      <c r="L627" s="110">
        <f>H627*I627*J627*K627</f>
        <v>150</v>
      </c>
      <c r="M627" s="111"/>
      <c r="N627" s="111"/>
    </row>
    <row r="628" spans="2:14" ht="15.75">
      <c r="B628" s="106">
        <v>601</v>
      </c>
      <c r="C628" s="107">
        <v>60</v>
      </c>
      <c r="D628" s="108"/>
      <c r="E628" s="25"/>
      <c r="F628" s="25"/>
      <c r="G628" s="112" t="s">
        <v>462</v>
      </c>
      <c r="H628" s="112">
        <v>25</v>
      </c>
      <c r="I628" s="110">
        <v>1</v>
      </c>
      <c r="J628" s="110">
        <v>1</v>
      </c>
      <c r="K628" s="112">
        <v>3</v>
      </c>
      <c r="L628" s="110">
        <f t="shared" ref="L628:L641" si="39">H628*I628*J628*K628</f>
        <v>75</v>
      </c>
      <c r="M628" s="111"/>
      <c r="N628" s="111"/>
    </row>
    <row r="629" spans="2:14" ht="15.75">
      <c r="B629" s="106">
        <v>602</v>
      </c>
      <c r="C629" s="107">
        <v>60</v>
      </c>
      <c r="D629" s="108"/>
      <c r="E629" s="25"/>
      <c r="F629" s="25"/>
      <c r="G629" s="112" t="s">
        <v>568</v>
      </c>
      <c r="H629" s="112">
        <v>4</v>
      </c>
      <c r="I629" s="110">
        <v>35</v>
      </c>
      <c r="J629" s="110">
        <v>1</v>
      </c>
      <c r="K629" s="112">
        <v>3</v>
      </c>
      <c r="L629" s="110">
        <f t="shared" si="39"/>
        <v>420</v>
      </c>
      <c r="M629" s="111"/>
      <c r="N629" s="111"/>
    </row>
    <row r="630" spans="2:14" ht="15.75">
      <c r="B630" s="106">
        <v>603</v>
      </c>
      <c r="C630" s="107">
        <v>60</v>
      </c>
      <c r="D630" s="108"/>
      <c r="E630" s="25"/>
      <c r="F630" s="25"/>
      <c r="G630" s="112" t="s">
        <v>569</v>
      </c>
      <c r="H630" s="112">
        <v>8</v>
      </c>
      <c r="I630" s="110">
        <v>35</v>
      </c>
      <c r="J630" s="110">
        <v>1</v>
      </c>
      <c r="K630" s="112">
        <v>3</v>
      </c>
      <c r="L630" s="110">
        <f t="shared" si="39"/>
        <v>840</v>
      </c>
      <c r="M630" s="111"/>
      <c r="N630" s="111"/>
    </row>
    <row r="631" spans="2:14" ht="24">
      <c r="B631" s="106">
        <v>604</v>
      </c>
      <c r="C631" s="107">
        <v>60</v>
      </c>
      <c r="D631" s="108"/>
      <c r="E631" s="25"/>
      <c r="F631" s="25"/>
      <c r="G631" s="112" t="s">
        <v>570</v>
      </c>
      <c r="H631" s="112">
        <v>10</v>
      </c>
      <c r="I631" s="110">
        <v>30</v>
      </c>
      <c r="J631" s="110">
        <v>1</v>
      </c>
      <c r="K631" s="112">
        <v>3</v>
      </c>
      <c r="L631" s="110">
        <f t="shared" si="39"/>
        <v>900</v>
      </c>
      <c r="M631" s="111"/>
      <c r="N631" s="111"/>
    </row>
    <row r="632" spans="2:14" ht="15.75">
      <c r="B632" s="106">
        <v>605</v>
      </c>
      <c r="C632" s="107">
        <v>60</v>
      </c>
      <c r="D632" s="108"/>
      <c r="E632" s="25"/>
      <c r="F632" s="25"/>
      <c r="G632" s="112" t="s">
        <v>432</v>
      </c>
      <c r="H632" s="112">
        <v>8</v>
      </c>
      <c r="I632" s="110">
        <v>1</v>
      </c>
      <c r="J632" s="110">
        <v>1</v>
      </c>
      <c r="K632" s="112">
        <v>3</v>
      </c>
      <c r="L632" s="110">
        <f t="shared" si="39"/>
        <v>24</v>
      </c>
      <c r="M632" s="111"/>
      <c r="N632" s="111"/>
    </row>
    <row r="633" spans="2:14" ht="15.75">
      <c r="B633" s="106">
        <v>606</v>
      </c>
      <c r="C633" s="107">
        <v>60</v>
      </c>
      <c r="D633" s="108"/>
      <c r="E633" s="25"/>
      <c r="F633" s="25"/>
      <c r="G633" s="112" t="s">
        <v>463</v>
      </c>
      <c r="H633" s="112">
        <v>119</v>
      </c>
      <c r="I633" s="110">
        <v>2</v>
      </c>
      <c r="J633" s="110">
        <v>1</v>
      </c>
      <c r="K633" s="112">
        <v>5</v>
      </c>
      <c r="L633" s="110">
        <f t="shared" si="39"/>
        <v>1190</v>
      </c>
      <c r="M633" s="111"/>
      <c r="N633" s="111"/>
    </row>
    <row r="634" spans="2:14" ht="15.75">
      <c r="B634" s="106">
        <v>607</v>
      </c>
      <c r="C634" s="107">
        <v>60</v>
      </c>
      <c r="D634" s="108"/>
      <c r="E634" s="25"/>
      <c r="F634" s="25"/>
      <c r="G634" s="112" t="s">
        <v>434</v>
      </c>
      <c r="H634" s="112">
        <v>10</v>
      </c>
      <c r="I634" s="110">
        <v>30</v>
      </c>
      <c r="J634" s="110">
        <v>1</v>
      </c>
      <c r="K634" s="112">
        <v>1</v>
      </c>
      <c r="L634" s="110">
        <f t="shared" si="39"/>
        <v>300</v>
      </c>
      <c r="M634" s="111"/>
      <c r="N634" s="111"/>
    </row>
    <row r="635" spans="2:14" ht="15.75">
      <c r="B635" s="106">
        <v>608</v>
      </c>
      <c r="C635" s="107">
        <v>60</v>
      </c>
      <c r="D635" s="108"/>
      <c r="E635" s="25"/>
      <c r="F635" s="25"/>
      <c r="G635" s="112" t="s">
        <v>455</v>
      </c>
      <c r="H635" s="112">
        <v>260</v>
      </c>
      <c r="I635" s="110">
        <v>2</v>
      </c>
      <c r="J635" s="110">
        <v>1</v>
      </c>
      <c r="K635" s="112">
        <v>1</v>
      </c>
      <c r="L635" s="110">
        <f t="shared" si="39"/>
        <v>520</v>
      </c>
      <c r="M635" s="111"/>
      <c r="N635" s="111"/>
    </row>
    <row r="636" spans="2:14" ht="15.75">
      <c r="B636" s="106">
        <v>609</v>
      </c>
      <c r="C636" s="107">
        <v>60</v>
      </c>
      <c r="D636" s="108"/>
      <c r="E636" s="25"/>
      <c r="F636" s="25"/>
      <c r="G636" s="112" t="s">
        <v>435</v>
      </c>
      <c r="H636" s="112">
        <v>70</v>
      </c>
      <c r="I636" s="110">
        <v>1</v>
      </c>
      <c r="J636" s="110">
        <v>1</v>
      </c>
      <c r="K636" s="112">
        <v>3</v>
      </c>
      <c r="L636" s="110">
        <f t="shared" si="39"/>
        <v>210</v>
      </c>
      <c r="M636" s="111"/>
      <c r="N636" s="111"/>
    </row>
    <row r="637" spans="2:14" ht="15.75">
      <c r="B637" s="106">
        <v>610</v>
      </c>
      <c r="C637" s="107">
        <v>60</v>
      </c>
      <c r="D637" s="108"/>
      <c r="E637" s="25"/>
      <c r="F637" s="25"/>
      <c r="G637" s="112" t="s">
        <v>443</v>
      </c>
      <c r="H637" s="112">
        <v>8.33</v>
      </c>
      <c r="I637" s="110">
        <v>4</v>
      </c>
      <c r="J637" s="110">
        <v>1</v>
      </c>
      <c r="K637" s="112">
        <v>1</v>
      </c>
      <c r="L637" s="110">
        <f t="shared" si="39"/>
        <v>33.32</v>
      </c>
      <c r="M637" s="111"/>
      <c r="N637" s="111"/>
    </row>
    <row r="638" spans="2:14" ht="15.75">
      <c r="B638" s="106">
        <v>611</v>
      </c>
      <c r="C638" s="107">
        <v>60</v>
      </c>
      <c r="D638" s="108"/>
      <c r="E638" s="25"/>
      <c r="F638" s="25"/>
      <c r="G638" s="112" t="s">
        <v>464</v>
      </c>
      <c r="H638" s="112">
        <v>305.56</v>
      </c>
      <c r="I638" s="112">
        <v>1</v>
      </c>
      <c r="J638" s="110">
        <v>1</v>
      </c>
      <c r="K638" s="112">
        <v>1</v>
      </c>
      <c r="L638" s="110">
        <f t="shared" si="39"/>
        <v>305.56</v>
      </c>
      <c r="M638" s="111"/>
      <c r="N638" s="111"/>
    </row>
    <row r="639" spans="2:14" ht="15.75">
      <c r="B639" s="106">
        <v>612</v>
      </c>
      <c r="C639" s="107">
        <v>60</v>
      </c>
      <c r="D639" s="108"/>
      <c r="E639" s="25"/>
      <c r="F639" s="25"/>
      <c r="G639" s="112" t="s">
        <v>465</v>
      </c>
      <c r="H639" s="112">
        <v>166.67</v>
      </c>
      <c r="I639" s="112">
        <v>1</v>
      </c>
      <c r="J639" s="110">
        <v>1</v>
      </c>
      <c r="K639" s="112">
        <v>1</v>
      </c>
      <c r="L639" s="110">
        <f t="shared" si="39"/>
        <v>166.67</v>
      </c>
      <c r="M639" s="111"/>
      <c r="N639" s="111"/>
    </row>
    <row r="640" spans="2:14" ht="15.75">
      <c r="B640" s="106">
        <v>613</v>
      </c>
      <c r="C640" s="107">
        <v>60</v>
      </c>
      <c r="D640" s="108"/>
      <c r="E640" s="25"/>
      <c r="F640" s="25"/>
      <c r="G640" s="112" t="s">
        <v>447</v>
      </c>
      <c r="H640" s="112">
        <v>1.19</v>
      </c>
      <c r="I640" s="112">
        <v>10</v>
      </c>
      <c r="J640" s="110">
        <v>1</v>
      </c>
      <c r="K640" s="112">
        <v>3</v>
      </c>
      <c r="L640" s="110">
        <f t="shared" si="39"/>
        <v>35.699999999999996</v>
      </c>
      <c r="M640" s="111"/>
      <c r="N640" s="111"/>
    </row>
    <row r="641" spans="2:14" ht="15.75">
      <c r="B641" s="106">
        <v>614</v>
      </c>
      <c r="C641" s="107">
        <v>60</v>
      </c>
      <c r="D641" s="108"/>
      <c r="E641" s="25"/>
      <c r="F641" s="25"/>
      <c r="G641" s="112" t="s">
        <v>459</v>
      </c>
      <c r="H641" s="112">
        <v>16.670000000000002</v>
      </c>
      <c r="I641" s="112">
        <v>1</v>
      </c>
      <c r="J641" s="110">
        <v>1</v>
      </c>
      <c r="K641" s="112">
        <v>1</v>
      </c>
      <c r="L641" s="110">
        <f t="shared" si="39"/>
        <v>16.670000000000002</v>
      </c>
      <c r="M641" s="111"/>
      <c r="N641" s="111"/>
    </row>
    <row r="642" spans="2:14" s="138" customFormat="1" ht="25.5">
      <c r="B642" s="126">
        <v>615</v>
      </c>
      <c r="C642" s="127">
        <v>61</v>
      </c>
      <c r="D642" s="135" t="s">
        <v>146</v>
      </c>
      <c r="E642" s="129" t="s">
        <v>145</v>
      </c>
      <c r="F642" s="136" t="s">
        <v>763</v>
      </c>
      <c r="G642" s="131" t="s">
        <v>606</v>
      </c>
      <c r="H642" s="137" t="s">
        <v>671</v>
      </c>
      <c r="I642" s="131"/>
      <c r="J642" s="131"/>
      <c r="K642" s="131"/>
      <c r="L642" s="131">
        <f>SUM(L643:L657)</f>
        <v>5187.92</v>
      </c>
      <c r="M642" s="133">
        <v>5187.92</v>
      </c>
      <c r="N642" s="134">
        <v>5187.92</v>
      </c>
    </row>
    <row r="643" spans="2:14" ht="15.75">
      <c r="B643" s="106">
        <v>616</v>
      </c>
      <c r="C643" s="107">
        <v>61</v>
      </c>
      <c r="D643" s="108"/>
      <c r="E643" s="25"/>
      <c r="F643" s="25"/>
      <c r="G643" s="112" t="s">
        <v>453</v>
      </c>
      <c r="H643" s="112">
        <v>25</v>
      </c>
      <c r="I643" s="110">
        <v>2</v>
      </c>
      <c r="J643" s="110">
        <v>1</v>
      </c>
      <c r="K643" s="112">
        <v>3</v>
      </c>
      <c r="L643" s="110">
        <f>H643*I643*J643*K643</f>
        <v>150</v>
      </c>
      <c r="M643" s="111"/>
      <c r="N643" s="111"/>
    </row>
    <row r="644" spans="2:14" ht="15.75">
      <c r="B644" s="106">
        <v>617</v>
      </c>
      <c r="C644" s="107">
        <v>61</v>
      </c>
      <c r="D644" s="108"/>
      <c r="E644" s="25"/>
      <c r="F644" s="25"/>
      <c r="G644" s="112" t="s">
        <v>462</v>
      </c>
      <c r="H644" s="112">
        <v>25</v>
      </c>
      <c r="I644" s="110">
        <v>1</v>
      </c>
      <c r="J644" s="110">
        <v>1</v>
      </c>
      <c r="K644" s="112">
        <v>3</v>
      </c>
      <c r="L644" s="110">
        <f t="shared" ref="L644:L657" si="40">H644*I644*J644*K644</f>
        <v>75</v>
      </c>
      <c r="M644" s="111"/>
      <c r="N644" s="111"/>
    </row>
    <row r="645" spans="2:14" ht="15.75">
      <c r="B645" s="106">
        <v>618</v>
      </c>
      <c r="C645" s="107">
        <v>61</v>
      </c>
      <c r="D645" s="108"/>
      <c r="E645" s="25"/>
      <c r="F645" s="25"/>
      <c r="G645" s="112" t="s">
        <v>568</v>
      </c>
      <c r="H645" s="112">
        <v>4</v>
      </c>
      <c r="I645" s="110">
        <v>35</v>
      </c>
      <c r="J645" s="110">
        <v>1</v>
      </c>
      <c r="K645" s="112">
        <v>3</v>
      </c>
      <c r="L645" s="110">
        <f t="shared" si="40"/>
        <v>420</v>
      </c>
      <c r="M645" s="111"/>
      <c r="N645" s="111"/>
    </row>
    <row r="646" spans="2:14" ht="15.75">
      <c r="B646" s="106">
        <v>619</v>
      </c>
      <c r="C646" s="107">
        <v>61</v>
      </c>
      <c r="D646" s="108"/>
      <c r="E646" s="25"/>
      <c r="F646" s="25"/>
      <c r="G646" s="112" t="s">
        <v>569</v>
      </c>
      <c r="H646" s="112">
        <v>8</v>
      </c>
      <c r="I646" s="110">
        <v>35</v>
      </c>
      <c r="J646" s="110">
        <v>1</v>
      </c>
      <c r="K646" s="112">
        <v>3</v>
      </c>
      <c r="L646" s="110">
        <f t="shared" si="40"/>
        <v>840</v>
      </c>
      <c r="M646" s="111"/>
      <c r="N646" s="111"/>
    </row>
    <row r="647" spans="2:14" ht="24">
      <c r="B647" s="106">
        <v>620</v>
      </c>
      <c r="C647" s="107">
        <v>61</v>
      </c>
      <c r="D647" s="108"/>
      <c r="E647" s="25"/>
      <c r="F647" s="25"/>
      <c r="G647" s="112" t="s">
        <v>570</v>
      </c>
      <c r="H647" s="112">
        <v>10</v>
      </c>
      <c r="I647" s="110">
        <v>30</v>
      </c>
      <c r="J647" s="110">
        <v>1</v>
      </c>
      <c r="K647" s="112">
        <v>3</v>
      </c>
      <c r="L647" s="110">
        <f t="shared" si="40"/>
        <v>900</v>
      </c>
      <c r="M647" s="111"/>
      <c r="N647" s="111"/>
    </row>
    <row r="648" spans="2:14" ht="15.75">
      <c r="B648" s="106">
        <v>621</v>
      </c>
      <c r="C648" s="107">
        <v>61</v>
      </c>
      <c r="D648" s="108"/>
      <c r="E648" s="25"/>
      <c r="F648" s="25"/>
      <c r="G648" s="112" t="s">
        <v>432</v>
      </c>
      <c r="H648" s="112">
        <v>8</v>
      </c>
      <c r="I648" s="110">
        <v>1</v>
      </c>
      <c r="J648" s="110">
        <v>1</v>
      </c>
      <c r="K648" s="112">
        <v>3</v>
      </c>
      <c r="L648" s="110">
        <f t="shared" si="40"/>
        <v>24</v>
      </c>
      <c r="M648" s="111"/>
      <c r="N648" s="111"/>
    </row>
    <row r="649" spans="2:14" ht="15.75">
      <c r="B649" s="106">
        <v>622</v>
      </c>
      <c r="C649" s="107">
        <v>61</v>
      </c>
      <c r="D649" s="108"/>
      <c r="E649" s="25"/>
      <c r="F649" s="25"/>
      <c r="G649" s="112" t="s">
        <v>463</v>
      </c>
      <c r="H649" s="112">
        <v>119</v>
      </c>
      <c r="I649" s="110">
        <v>2</v>
      </c>
      <c r="J649" s="110">
        <v>1</v>
      </c>
      <c r="K649" s="112">
        <v>5</v>
      </c>
      <c r="L649" s="110">
        <f t="shared" si="40"/>
        <v>1190</v>
      </c>
      <c r="M649" s="111"/>
      <c r="N649" s="111"/>
    </row>
    <row r="650" spans="2:14" ht="15.75">
      <c r="B650" s="106">
        <v>623</v>
      </c>
      <c r="C650" s="107">
        <v>61</v>
      </c>
      <c r="D650" s="108"/>
      <c r="E650" s="25"/>
      <c r="F650" s="25"/>
      <c r="G650" s="112" t="s">
        <v>434</v>
      </c>
      <c r="H650" s="112">
        <v>10</v>
      </c>
      <c r="I650" s="110">
        <v>30</v>
      </c>
      <c r="J650" s="110">
        <v>1</v>
      </c>
      <c r="K650" s="112">
        <v>1</v>
      </c>
      <c r="L650" s="110">
        <f t="shared" si="40"/>
        <v>300</v>
      </c>
      <c r="M650" s="111"/>
      <c r="N650" s="111"/>
    </row>
    <row r="651" spans="2:14" ht="15.75">
      <c r="B651" s="106">
        <v>624</v>
      </c>
      <c r="C651" s="107">
        <v>61</v>
      </c>
      <c r="D651" s="108"/>
      <c r="E651" s="25"/>
      <c r="F651" s="25"/>
      <c r="G651" s="112" t="s">
        <v>455</v>
      </c>
      <c r="H651" s="112">
        <v>260</v>
      </c>
      <c r="I651" s="110">
        <v>2</v>
      </c>
      <c r="J651" s="110">
        <v>1</v>
      </c>
      <c r="K651" s="112">
        <v>1</v>
      </c>
      <c r="L651" s="110">
        <f t="shared" si="40"/>
        <v>520</v>
      </c>
      <c r="M651" s="111"/>
      <c r="N651" s="111"/>
    </row>
    <row r="652" spans="2:14" ht="15.75">
      <c r="B652" s="106">
        <v>625</v>
      </c>
      <c r="C652" s="107">
        <v>61</v>
      </c>
      <c r="D652" s="108"/>
      <c r="E652" s="25"/>
      <c r="F652" s="25"/>
      <c r="G652" s="112" t="s">
        <v>435</v>
      </c>
      <c r="H652" s="112">
        <v>70</v>
      </c>
      <c r="I652" s="110">
        <v>1</v>
      </c>
      <c r="J652" s="110">
        <v>1</v>
      </c>
      <c r="K652" s="112">
        <v>3</v>
      </c>
      <c r="L652" s="110">
        <f t="shared" si="40"/>
        <v>210</v>
      </c>
      <c r="M652" s="111"/>
      <c r="N652" s="111"/>
    </row>
    <row r="653" spans="2:14" ht="15.75">
      <c r="B653" s="106">
        <v>626</v>
      </c>
      <c r="C653" s="107">
        <v>61</v>
      </c>
      <c r="D653" s="108"/>
      <c r="E653" s="25"/>
      <c r="F653" s="25"/>
      <c r="G653" s="112" t="s">
        <v>443</v>
      </c>
      <c r="H653" s="112">
        <v>8.33</v>
      </c>
      <c r="I653" s="110">
        <v>4</v>
      </c>
      <c r="J653" s="110">
        <v>1</v>
      </c>
      <c r="K653" s="112">
        <v>1</v>
      </c>
      <c r="L653" s="110">
        <f t="shared" si="40"/>
        <v>33.32</v>
      </c>
      <c r="M653" s="111"/>
      <c r="N653" s="111"/>
    </row>
    <row r="654" spans="2:14" ht="15.75">
      <c r="B654" s="106">
        <v>627</v>
      </c>
      <c r="C654" s="107">
        <v>61</v>
      </c>
      <c r="D654" s="108"/>
      <c r="E654" s="25"/>
      <c r="F654" s="25"/>
      <c r="G654" s="112" t="s">
        <v>464</v>
      </c>
      <c r="H654" s="112">
        <v>305.56</v>
      </c>
      <c r="I654" s="112">
        <v>1</v>
      </c>
      <c r="J654" s="110">
        <v>1</v>
      </c>
      <c r="K654" s="112">
        <v>1</v>
      </c>
      <c r="L654" s="110">
        <f t="shared" si="40"/>
        <v>305.56</v>
      </c>
      <c r="M654" s="111"/>
      <c r="N654" s="111"/>
    </row>
    <row r="655" spans="2:14" ht="15.75">
      <c r="B655" s="106">
        <v>628</v>
      </c>
      <c r="C655" s="107">
        <v>61</v>
      </c>
      <c r="D655" s="108"/>
      <c r="E655" s="25"/>
      <c r="F655" s="25"/>
      <c r="G655" s="112" t="s">
        <v>465</v>
      </c>
      <c r="H655" s="112">
        <v>167.67</v>
      </c>
      <c r="I655" s="112">
        <v>1</v>
      </c>
      <c r="J655" s="110">
        <v>1</v>
      </c>
      <c r="K655" s="112">
        <v>1</v>
      </c>
      <c r="L655" s="110">
        <f t="shared" si="40"/>
        <v>167.67</v>
      </c>
      <c r="M655" s="111"/>
      <c r="N655" s="111"/>
    </row>
    <row r="656" spans="2:14" ht="15.75">
      <c r="B656" s="106">
        <v>629</v>
      </c>
      <c r="C656" s="107">
        <v>61</v>
      </c>
      <c r="D656" s="108"/>
      <c r="E656" s="25"/>
      <c r="F656" s="25"/>
      <c r="G656" s="112" t="s">
        <v>447</v>
      </c>
      <c r="H656" s="112">
        <v>1.19</v>
      </c>
      <c r="I656" s="112">
        <v>10</v>
      </c>
      <c r="J656" s="110">
        <v>1</v>
      </c>
      <c r="K656" s="112">
        <v>3</v>
      </c>
      <c r="L656" s="110">
        <f t="shared" si="40"/>
        <v>35.699999999999996</v>
      </c>
      <c r="M656" s="111"/>
      <c r="N656" s="111"/>
    </row>
    <row r="657" spans="2:15" ht="15.75">
      <c r="B657" s="106">
        <v>630</v>
      </c>
      <c r="C657" s="107">
        <v>61</v>
      </c>
      <c r="D657" s="108"/>
      <c r="E657" s="25"/>
      <c r="F657" s="25"/>
      <c r="G657" s="112" t="s">
        <v>459</v>
      </c>
      <c r="H657" s="112">
        <v>16.670000000000002</v>
      </c>
      <c r="I657" s="112">
        <v>1</v>
      </c>
      <c r="J657" s="110">
        <v>1</v>
      </c>
      <c r="K657" s="112">
        <v>1</v>
      </c>
      <c r="L657" s="110">
        <f t="shared" si="40"/>
        <v>16.670000000000002</v>
      </c>
      <c r="M657" s="111"/>
      <c r="N657" s="111"/>
    </row>
    <row r="658" spans="2:15" s="138" customFormat="1" ht="38.25">
      <c r="B658" s="126">
        <v>631</v>
      </c>
      <c r="C658" s="127">
        <v>62</v>
      </c>
      <c r="D658" s="135" t="s">
        <v>142</v>
      </c>
      <c r="E658" s="129" t="s">
        <v>764</v>
      </c>
      <c r="F658" s="136" t="s">
        <v>765</v>
      </c>
      <c r="G658" s="131" t="s">
        <v>608</v>
      </c>
      <c r="H658" s="137" t="s">
        <v>671</v>
      </c>
      <c r="I658" s="131"/>
      <c r="J658" s="131"/>
      <c r="K658" s="131"/>
      <c r="L658" s="131">
        <f>SUM(L659)</f>
        <v>4500</v>
      </c>
      <c r="M658" s="133">
        <v>9000</v>
      </c>
      <c r="N658" s="134">
        <v>9000</v>
      </c>
    </row>
    <row r="659" spans="2:15" ht="15.75">
      <c r="B659" s="106">
        <v>632</v>
      </c>
      <c r="C659" s="107">
        <v>62</v>
      </c>
      <c r="D659" s="108"/>
      <c r="E659" s="25"/>
      <c r="F659" s="25"/>
      <c r="G659" s="112" t="s">
        <v>609</v>
      </c>
      <c r="H659" s="112">
        <v>1500</v>
      </c>
      <c r="I659" s="112">
        <v>3</v>
      </c>
      <c r="J659" s="112">
        <v>1</v>
      </c>
      <c r="K659" s="112">
        <v>1</v>
      </c>
      <c r="L659" s="110">
        <f>H659*I659*J659*K659</f>
        <v>4500</v>
      </c>
      <c r="M659" s="111"/>
      <c r="N659" s="111"/>
      <c r="O659" s="306" t="s">
        <v>1004</v>
      </c>
    </row>
    <row r="660" spans="2:15" s="138" customFormat="1" ht="51">
      <c r="B660" s="126">
        <v>633</v>
      </c>
      <c r="C660" s="127">
        <v>64</v>
      </c>
      <c r="D660" s="135" t="s">
        <v>140</v>
      </c>
      <c r="E660" s="129" t="s">
        <v>845</v>
      </c>
      <c r="F660" s="136" t="s">
        <v>846</v>
      </c>
      <c r="G660" s="131"/>
      <c r="H660" s="137" t="s">
        <v>671</v>
      </c>
      <c r="I660" s="131"/>
      <c r="J660" s="131"/>
      <c r="K660" s="131"/>
      <c r="L660" s="131">
        <f>SUM(L661:L665)</f>
        <v>46510</v>
      </c>
      <c r="M660" s="133">
        <v>91860</v>
      </c>
      <c r="N660" s="134">
        <v>55116</v>
      </c>
    </row>
    <row r="661" spans="2:15" ht="24">
      <c r="B661" s="106">
        <v>634</v>
      </c>
      <c r="C661" s="107">
        <v>64</v>
      </c>
      <c r="D661" s="108"/>
      <c r="E661" s="25"/>
      <c r="F661" s="25"/>
      <c r="G661" s="112" t="s">
        <v>874</v>
      </c>
      <c r="H661" s="112">
        <v>18604</v>
      </c>
      <c r="I661" s="112">
        <v>1</v>
      </c>
      <c r="J661" s="112">
        <v>1</v>
      </c>
      <c r="K661" s="112">
        <v>1</v>
      </c>
      <c r="L661" s="164">
        <f>H661*I661*J661*K661</f>
        <v>18604</v>
      </c>
      <c r="M661" s="111"/>
      <c r="N661" s="111"/>
    </row>
    <row r="662" spans="2:15" ht="24">
      <c r="B662" s="106"/>
      <c r="C662" s="107"/>
      <c r="D662" s="108"/>
      <c r="E662" s="25"/>
      <c r="F662" s="25"/>
      <c r="G662" s="112" t="s">
        <v>875</v>
      </c>
      <c r="H662" s="112">
        <v>0</v>
      </c>
      <c r="I662" s="112">
        <v>1</v>
      </c>
      <c r="J662" s="112">
        <v>1</v>
      </c>
      <c r="K662" s="112">
        <v>1</v>
      </c>
      <c r="L662" s="164">
        <f t="shared" ref="L662:L665" si="41">H662*I662*J662*K662</f>
        <v>0</v>
      </c>
      <c r="M662" s="111"/>
      <c r="N662" s="111"/>
    </row>
    <row r="663" spans="2:15" ht="24">
      <c r="B663" s="106"/>
      <c r="C663" s="107"/>
      <c r="D663" s="108"/>
      <c r="E663" s="25"/>
      <c r="F663" s="25"/>
      <c r="G663" s="112" t="s">
        <v>876</v>
      </c>
      <c r="H663" s="112">
        <v>13953</v>
      </c>
      <c r="I663" s="112">
        <v>1</v>
      </c>
      <c r="J663" s="112">
        <v>1</v>
      </c>
      <c r="K663" s="112">
        <v>1</v>
      </c>
      <c r="L663" s="164">
        <f t="shared" si="41"/>
        <v>13953</v>
      </c>
      <c r="M663" s="111"/>
      <c r="N663" s="111"/>
      <c r="O663" s="306">
        <v>2015</v>
      </c>
    </row>
    <row r="664" spans="2:15" ht="24">
      <c r="B664" s="106"/>
      <c r="C664" s="107"/>
      <c r="D664" s="108"/>
      <c r="E664" s="25"/>
      <c r="F664" s="25"/>
      <c r="G664" s="112" t="s">
        <v>877</v>
      </c>
      <c r="H664" s="112">
        <v>0</v>
      </c>
      <c r="I664" s="112">
        <v>1</v>
      </c>
      <c r="J664" s="112">
        <v>1</v>
      </c>
      <c r="K664" s="112">
        <v>1</v>
      </c>
      <c r="L664" s="164">
        <f t="shared" si="41"/>
        <v>0</v>
      </c>
      <c r="M664" s="111"/>
      <c r="N664" s="111"/>
      <c r="O664" s="306">
        <v>2016</v>
      </c>
    </row>
    <row r="665" spans="2:15" ht="24">
      <c r="B665" s="106"/>
      <c r="C665" s="107"/>
      <c r="D665" s="108"/>
      <c r="E665" s="25"/>
      <c r="F665" s="25"/>
      <c r="G665" s="112" t="s">
        <v>878</v>
      </c>
      <c r="H665" s="112">
        <v>13953</v>
      </c>
      <c r="I665" s="112">
        <v>1</v>
      </c>
      <c r="J665" s="112">
        <v>1</v>
      </c>
      <c r="K665" s="112">
        <v>1</v>
      </c>
      <c r="L665" s="164">
        <f t="shared" si="41"/>
        <v>13953</v>
      </c>
      <c r="M665" s="111"/>
      <c r="N665" s="111"/>
      <c r="O665" s="306">
        <v>2017</v>
      </c>
    </row>
    <row r="666" spans="2:15" s="138" customFormat="1" ht="36">
      <c r="B666" s="126">
        <v>633</v>
      </c>
      <c r="C666" s="127">
        <v>64</v>
      </c>
      <c r="D666" s="135" t="s">
        <v>138</v>
      </c>
      <c r="E666" s="129" t="s">
        <v>766</v>
      </c>
      <c r="F666" s="136" t="s">
        <v>767</v>
      </c>
      <c r="G666" s="131" t="s">
        <v>618</v>
      </c>
      <c r="H666" s="137" t="s">
        <v>671</v>
      </c>
      <c r="I666" s="131"/>
      <c r="J666" s="131"/>
      <c r="K666" s="131"/>
      <c r="L666" s="131">
        <f>SUM(L667)</f>
        <v>18372</v>
      </c>
      <c r="M666" s="133">
        <v>91860</v>
      </c>
      <c r="N666" s="134">
        <v>55116</v>
      </c>
    </row>
    <row r="667" spans="2:15" ht="24">
      <c r="B667" s="106">
        <v>634</v>
      </c>
      <c r="C667" s="107">
        <v>64</v>
      </c>
      <c r="D667" s="108"/>
      <c r="E667" s="25"/>
      <c r="F667" s="25"/>
      <c r="G667" s="112" t="s">
        <v>619</v>
      </c>
      <c r="H667" s="112">
        <v>18372</v>
      </c>
      <c r="I667" s="112">
        <v>1</v>
      </c>
      <c r="J667" s="112">
        <v>1</v>
      </c>
      <c r="K667" s="112">
        <v>1</v>
      </c>
      <c r="L667" s="110">
        <f>H667*I667*J667*K667</f>
        <v>18372</v>
      </c>
      <c r="M667" s="111"/>
      <c r="N667" s="111"/>
    </row>
    <row r="668" spans="2:15" s="138" customFormat="1" ht="51">
      <c r="B668" s="126">
        <v>635</v>
      </c>
      <c r="C668" s="127">
        <v>65</v>
      </c>
      <c r="D668" s="128" t="s">
        <v>137</v>
      </c>
      <c r="E668" s="136" t="s">
        <v>136</v>
      </c>
      <c r="F668" s="136" t="s">
        <v>768</v>
      </c>
      <c r="G668" s="131" t="s">
        <v>136</v>
      </c>
      <c r="H668" s="137" t="s">
        <v>671</v>
      </c>
      <c r="I668" s="131"/>
      <c r="J668" s="131"/>
      <c r="K668" s="131"/>
      <c r="L668" s="131">
        <f>SUM(L669:L670)</f>
        <v>5701.36</v>
      </c>
      <c r="M668" s="133">
        <v>11402.72</v>
      </c>
      <c r="N668" s="134">
        <v>11402.72</v>
      </c>
    </row>
    <row r="669" spans="2:15" ht="15.75">
      <c r="B669" s="106">
        <v>636</v>
      </c>
      <c r="C669" s="107">
        <v>65</v>
      </c>
      <c r="D669" s="108"/>
      <c r="E669" s="25"/>
      <c r="F669" s="25"/>
      <c r="G669" s="112" t="s">
        <v>460</v>
      </c>
      <c r="H669" s="112">
        <v>5600</v>
      </c>
      <c r="I669" s="112">
        <v>1</v>
      </c>
      <c r="J669" s="112">
        <v>1</v>
      </c>
      <c r="K669" s="112">
        <v>1</v>
      </c>
      <c r="L669" s="110">
        <f>H669*I669*J669*K669</f>
        <v>5600</v>
      </c>
      <c r="M669" s="111"/>
      <c r="N669" s="111"/>
    </row>
    <row r="670" spans="2:15" ht="15.75">
      <c r="B670" s="106">
        <v>637</v>
      </c>
      <c r="C670" s="107">
        <v>65</v>
      </c>
      <c r="D670" s="108"/>
      <c r="E670" s="25"/>
      <c r="F670" s="25"/>
      <c r="G670" s="112" t="s">
        <v>461</v>
      </c>
      <c r="H670" s="112">
        <v>25.34</v>
      </c>
      <c r="I670" s="112">
        <v>1</v>
      </c>
      <c r="J670" s="112">
        <v>4</v>
      </c>
      <c r="K670" s="112">
        <v>1</v>
      </c>
      <c r="L670" s="110">
        <f>H670*I670*J670*K670</f>
        <v>101.36</v>
      </c>
      <c r="M670" s="111"/>
      <c r="N670" s="111"/>
    </row>
    <row r="671" spans="2:15" s="138" customFormat="1" ht="38.25">
      <c r="B671" s="126">
        <v>638</v>
      </c>
      <c r="C671" s="127">
        <v>66</v>
      </c>
      <c r="D671" s="128" t="s">
        <v>135</v>
      </c>
      <c r="E671" s="136" t="s">
        <v>769</v>
      </c>
      <c r="F671" s="130" t="s">
        <v>770</v>
      </c>
      <c r="G671" s="131" t="s">
        <v>134</v>
      </c>
      <c r="H671" s="137" t="s">
        <v>671</v>
      </c>
      <c r="I671" s="131"/>
      <c r="J671" s="131"/>
      <c r="K671" s="131"/>
      <c r="L671" s="131">
        <f>SUM(L672)</f>
        <v>7701.97</v>
      </c>
      <c r="M671" s="133">
        <v>40210</v>
      </c>
      <c r="N671" s="134">
        <v>40210</v>
      </c>
    </row>
    <row r="672" spans="2:15" ht="15.75">
      <c r="B672" s="106">
        <v>639</v>
      </c>
      <c r="C672" s="107">
        <v>66</v>
      </c>
      <c r="D672" s="108"/>
      <c r="E672" s="25"/>
      <c r="F672" s="25"/>
      <c r="G672" s="112" t="s">
        <v>615</v>
      </c>
      <c r="H672" s="112">
        <v>7701.97</v>
      </c>
      <c r="I672" s="112">
        <v>1</v>
      </c>
      <c r="J672" s="112">
        <v>1</v>
      </c>
      <c r="K672" s="112">
        <v>1</v>
      </c>
      <c r="L672" s="110">
        <f>H672*I672*J672*K672</f>
        <v>7701.97</v>
      </c>
      <c r="M672" s="111"/>
      <c r="N672" s="111"/>
    </row>
    <row r="673" spans="2:14" s="138" customFormat="1" ht="51">
      <c r="B673" s="126">
        <v>640</v>
      </c>
      <c r="C673" s="127">
        <v>67</v>
      </c>
      <c r="D673" s="135" t="s">
        <v>132</v>
      </c>
      <c r="E673" s="129" t="s">
        <v>131</v>
      </c>
      <c r="F673" s="136" t="s">
        <v>771</v>
      </c>
      <c r="G673" s="131" t="s">
        <v>131</v>
      </c>
      <c r="H673" s="137" t="s">
        <v>671</v>
      </c>
      <c r="I673" s="131"/>
      <c r="J673" s="131"/>
      <c r="K673" s="131"/>
      <c r="L673" s="139">
        <f>SUM(L674:L675)</f>
        <v>7592.33</v>
      </c>
      <c r="M673" s="133">
        <v>37961.67</v>
      </c>
      <c r="N673" s="134">
        <v>22776.989999999998</v>
      </c>
    </row>
    <row r="674" spans="2:14" ht="15.75">
      <c r="B674" s="106">
        <v>641</v>
      </c>
      <c r="C674" s="107">
        <v>67</v>
      </c>
      <c r="D674" s="108"/>
      <c r="E674" s="25"/>
      <c r="F674" s="25"/>
      <c r="G674" s="112" t="s">
        <v>447</v>
      </c>
      <c r="H674" s="112">
        <v>1.19</v>
      </c>
      <c r="I674" s="112">
        <v>305</v>
      </c>
      <c r="J674" s="112">
        <v>5</v>
      </c>
      <c r="K674" s="112">
        <v>4</v>
      </c>
      <c r="L674" s="110">
        <f>H674*I674*J674*K674</f>
        <v>7259</v>
      </c>
      <c r="M674" s="165"/>
      <c r="N674" s="111"/>
    </row>
    <row r="675" spans="2:14" ht="15.75">
      <c r="B675" s="106">
        <v>642</v>
      </c>
      <c r="C675" s="107">
        <v>67</v>
      </c>
      <c r="D675" s="108"/>
      <c r="E675" s="25"/>
      <c r="F675" s="25"/>
      <c r="G675" s="112" t="s">
        <v>459</v>
      </c>
      <c r="H675" s="112">
        <f>16.67-0.0035</f>
        <v>16.666500000000003</v>
      </c>
      <c r="I675" s="112">
        <v>1</v>
      </c>
      <c r="J675" s="112">
        <v>5</v>
      </c>
      <c r="K675" s="112">
        <v>4</v>
      </c>
      <c r="L675" s="110">
        <f>H675*I675*J675*K675</f>
        <v>333.33000000000004</v>
      </c>
      <c r="M675" s="111"/>
      <c r="N675" s="111"/>
    </row>
    <row r="676" spans="2:14" s="138" customFormat="1" ht="63.75">
      <c r="B676" s="126">
        <v>643</v>
      </c>
      <c r="C676" s="127">
        <v>68</v>
      </c>
      <c r="D676" s="135" t="s">
        <v>130</v>
      </c>
      <c r="E676" s="129" t="s">
        <v>772</v>
      </c>
      <c r="F676" s="136" t="s">
        <v>773</v>
      </c>
      <c r="G676" s="131" t="s">
        <v>129</v>
      </c>
      <c r="H676" s="137" t="s">
        <v>671</v>
      </c>
      <c r="I676" s="131"/>
      <c r="J676" s="131"/>
      <c r="K676" s="131"/>
      <c r="L676" s="131">
        <f>SUM(L677:L691)</f>
        <v>7622.22</v>
      </c>
      <c r="M676" s="133">
        <v>7622.22</v>
      </c>
      <c r="N676" s="134">
        <v>7622.22</v>
      </c>
    </row>
    <row r="677" spans="2:14" ht="15.75">
      <c r="B677" s="106">
        <v>644</v>
      </c>
      <c r="C677" s="107">
        <v>68</v>
      </c>
      <c r="D677" s="108"/>
      <c r="E677" s="25"/>
      <c r="F677" s="25"/>
      <c r="G677" s="112" t="s">
        <v>453</v>
      </c>
      <c r="H677" s="112">
        <v>25</v>
      </c>
      <c r="I677" s="110">
        <v>2</v>
      </c>
      <c r="J677" s="110">
        <v>2</v>
      </c>
      <c r="K677" s="112">
        <v>5</v>
      </c>
      <c r="L677" s="110">
        <f>H677*I677*J677*K677</f>
        <v>500</v>
      </c>
      <c r="M677" s="111"/>
      <c r="N677" s="111"/>
    </row>
    <row r="678" spans="2:14" ht="15.75">
      <c r="B678" s="106">
        <v>645</v>
      </c>
      <c r="C678" s="107">
        <v>68</v>
      </c>
      <c r="D678" s="108"/>
      <c r="E678" s="25"/>
      <c r="F678" s="25"/>
      <c r="G678" s="112" t="s">
        <v>462</v>
      </c>
      <c r="H678" s="112">
        <v>25</v>
      </c>
      <c r="I678" s="110">
        <v>1</v>
      </c>
      <c r="J678" s="110">
        <v>2</v>
      </c>
      <c r="K678" s="112">
        <v>5</v>
      </c>
      <c r="L678" s="110">
        <f t="shared" ref="L678:L691" si="42">H678*I678*J678*K678</f>
        <v>250</v>
      </c>
      <c r="M678" s="111"/>
      <c r="N678" s="111"/>
    </row>
    <row r="679" spans="2:14" ht="15.75">
      <c r="B679" s="106">
        <v>646</v>
      </c>
      <c r="C679" s="107">
        <v>68</v>
      </c>
      <c r="D679" s="108"/>
      <c r="E679" s="25"/>
      <c r="F679" s="25"/>
      <c r="G679" s="112" t="s">
        <v>568</v>
      </c>
      <c r="H679" s="112">
        <v>4</v>
      </c>
      <c r="I679" s="110">
        <v>29</v>
      </c>
      <c r="J679" s="110">
        <v>1</v>
      </c>
      <c r="K679" s="112">
        <v>5</v>
      </c>
      <c r="L679" s="110">
        <f t="shared" si="42"/>
        <v>580</v>
      </c>
      <c r="M679" s="111"/>
      <c r="N679" s="111"/>
    </row>
    <row r="680" spans="2:14" ht="15.75">
      <c r="B680" s="106">
        <v>647</v>
      </c>
      <c r="C680" s="107">
        <v>68</v>
      </c>
      <c r="D680" s="108"/>
      <c r="E680" s="25"/>
      <c r="F680" s="25"/>
      <c r="G680" s="112" t="s">
        <v>569</v>
      </c>
      <c r="H680" s="112">
        <v>8</v>
      </c>
      <c r="I680" s="110">
        <v>29</v>
      </c>
      <c r="J680" s="110">
        <v>1</v>
      </c>
      <c r="K680" s="112">
        <v>5</v>
      </c>
      <c r="L680" s="110">
        <f t="shared" si="42"/>
        <v>1160</v>
      </c>
      <c r="M680" s="111"/>
      <c r="N680" s="111"/>
    </row>
    <row r="681" spans="2:14" ht="24">
      <c r="B681" s="106">
        <v>648</v>
      </c>
      <c r="C681" s="107">
        <v>68</v>
      </c>
      <c r="D681" s="108"/>
      <c r="E681" s="25"/>
      <c r="F681" s="25"/>
      <c r="G681" s="112" t="s">
        <v>570</v>
      </c>
      <c r="H681" s="112">
        <v>10</v>
      </c>
      <c r="I681" s="110">
        <v>25</v>
      </c>
      <c r="J681" s="110">
        <v>1</v>
      </c>
      <c r="K681" s="112">
        <v>5</v>
      </c>
      <c r="L681" s="110">
        <f t="shared" si="42"/>
        <v>1250</v>
      </c>
      <c r="M681" s="111"/>
      <c r="N681" s="111"/>
    </row>
    <row r="682" spans="2:14" ht="15.75">
      <c r="B682" s="106">
        <v>649</v>
      </c>
      <c r="C682" s="107">
        <v>68</v>
      </c>
      <c r="D682" s="108"/>
      <c r="E682" s="25"/>
      <c r="F682" s="25"/>
      <c r="G682" s="112" t="s">
        <v>432</v>
      </c>
      <c r="H682" s="112">
        <v>8</v>
      </c>
      <c r="I682" s="110">
        <v>1</v>
      </c>
      <c r="J682" s="110">
        <v>2</v>
      </c>
      <c r="K682" s="112">
        <v>5</v>
      </c>
      <c r="L682" s="110">
        <f t="shared" si="42"/>
        <v>80</v>
      </c>
      <c r="M682" s="111"/>
      <c r="N682" s="111"/>
    </row>
    <row r="683" spans="2:14" ht="15.75">
      <c r="B683" s="106">
        <v>650</v>
      </c>
      <c r="C683" s="107">
        <v>68</v>
      </c>
      <c r="D683" s="108"/>
      <c r="E683" s="25"/>
      <c r="F683" s="25"/>
      <c r="G683" s="112" t="s">
        <v>463</v>
      </c>
      <c r="H683" s="112">
        <v>119</v>
      </c>
      <c r="I683" s="110">
        <v>2</v>
      </c>
      <c r="J683" s="110">
        <v>1</v>
      </c>
      <c r="K683" s="112">
        <v>7</v>
      </c>
      <c r="L683" s="110">
        <f t="shared" si="42"/>
        <v>1666</v>
      </c>
      <c r="M683" s="111"/>
      <c r="N683" s="111"/>
    </row>
    <row r="684" spans="2:14" ht="15.75">
      <c r="B684" s="106">
        <v>651</v>
      </c>
      <c r="C684" s="107">
        <v>68</v>
      </c>
      <c r="D684" s="108"/>
      <c r="E684" s="25"/>
      <c r="F684" s="25"/>
      <c r="G684" s="112" t="s">
        <v>434</v>
      </c>
      <c r="H684" s="112">
        <v>10</v>
      </c>
      <c r="I684" s="110">
        <v>25</v>
      </c>
      <c r="J684" s="110">
        <v>1</v>
      </c>
      <c r="K684" s="112">
        <v>1</v>
      </c>
      <c r="L684" s="110">
        <f t="shared" si="42"/>
        <v>250</v>
      </c>
      <c r="M684" s="111"/>
      <c r="N684" s="111"/>
    </row>
    <row r="685" spans="2:14" ht="15.75">
      <c r="B685" s="106">
        <v>652</v>
      </c>
      <c r="C685" s="107">
        <v>68</v>
      </c>
      <c r="D685" s="108"/>
      <c r="E685" s="25"/>
      <c r="F685" s="25"/>
      <c r="G685" s="112" t="s">
        <v>455</v>
      </c>
      <c r="H685" s="112">
        <v>260</v>
      </c>
      <c r="I685" s="110">
        <v>2</v>
      </c>
      <c r="J685" s="110">
        <v>1</v>
      </c>
      <c r="K685" s="112">
        <v>1</v>
      </c>
      <c r="L685" s="110">
        <f t="shared" si="42"/>
        <v>520</v>
      </c>
      <c r="M685" s="111"/>
      <c r="N685" s="111"/>
    </row>
    <row r="686" spans="2:14" ht="15.75">
      <c r="B686" s="106">
        <v>653</v>
      </c>
      <c r="C686" s="107">
        <v>68</v>
      </c>
      <c r="D686" s="108"/>
      <c r="E686" s="25"/>
      <c r="F686" s="25"/>
      <c r="G686" s="112" t="s">
        <v>435</v>
      </c>
      <c r="H686" s="112">
        <v>70</v>
      </c>
      <c r="I686" s="110">
        <v>1</v>
      </c>
      <c r="J686" s="110">
        <v>2</v>
      </c>
      <c r="K686" s="112">
        <v>5</v>
      </c>
      <c r="L686" s="110">
        <f>H686*I686*J686*K686</f>
        <v>700</v>
      </c>
      <c r="M686" s="111"/>
      <c r="N686" s="111"/>
    </row>
    <row r="687" spans="2:14" ht="15.75">
      <c r="B687" s="106">
        <v>654</v>
      </c>
      <c r="C687" s="107">
        <v>68</v>
      </c>
      <c r="D687" s="108"/>
      <c r="E687" s="25"/>
      <c r="F687" s="25"/>
      <c r="G687" s="112" t="s">
        <v>443</v>
      </c>
      <c r="H687" s="112">
        <v>8.33</v>
      </c>
      <c r="I687" s="110">
        <v>5</v>
      </c>
      <c r="J687" s="110">
        <v>1</v>
      </c>
      <c r="K687" s="112">
        <v>1</v>
      </c>
      <c r="L687" s="110">
        <f t="shared" si="42"/>
        <v>41.65</v>
      </c>
      <c r="M687" s="111"/>
      <c r="N687" s="111"/>
    </row>
    <row r="688" spans="2:14" ht="15.75">
      <c r="B688" s="106">
        <v>655</v>
      </c>
      <c r="C688" s="107">
        <v>68</v>
      </c>
      <c r="D688" s="108"/>
      <c r="E688" s="25"/>
      <c r="F688" s="25"/>
      <c r="G688" s="112" t="s">
        <v>464</v>
      </c>
      <c r="H688" s="112">
        <v>305.56</v>
      </c>
      <c r="I688" s="112">
        <v>1</v>
      </c>
      <c r="J688" s="110">
        <v>1</v>
      </c>
      <c r="K688" s="112">
        <v>1</v>
      </c>
      <c r="L688" s="110">
        <f t="shared" si="42"/>
        <v>305.56</v>
      </c>
      <c r="M688" s="111"/>
      <c r="N688" s="111"/>
    </row>
    <row r="689" spans="2:14" ht="15.75">
      <c r="B689" s="106">
        <v>656</v>
      </c>
      <c r="C689" s="107">
        <v>68</v>
      </c>
      <c r="D689" s="108"/>
      <c r="E689" s="25"/>
      <c r="F689" s="25"/>
      <c r="G689" s="112" t="s">
        <v>465</v>
      </c>
      <c r="H689" s="112">
        <v>166.67</v>
      </c>
      <c r="I689" s="112">
        <v>1</v>
      </c>
      <c r="J689" s="110">
        <v>1</v>
      </c>
      <c r="K689" s="112">
        <v>1</v>
      </c>
      <c r="L689" s="110">
        <f t="shared" si="42"/>
        <v>166.67</v>
      </c>
      <c r="M689" s="111"/>
      <c r="N689" s="111"/>
    </row>
    <row r="690" spans="2:14" ht="15.75">
      <c r="B690" s="106">
        <v>657</v>
      </c>
      <c r="C690" s="107">
        <v>68</v>
      </c>
      <c r="D690" s="108"/>
      <c r="E690" s="25"/>
      <c r="F690" s="25"/>
      <c r="G690" s="112" t="s">
        <v>447</v>
      </c>
      <c r="H690" s="112">
        <v>1.19</v>
      </c>
      <c r="I690" s="112">
        <v>10</v>
      </c>
      <c r="J690" s="110">
        <v>2</v>
      </c>
      <c r="K690" s="112">
        <v>5</v>
      </c>
      <c r="L690" s="110">
        <f t="shared" si="42"/>
        <v>118.99999999999999</v>
      </c>
      <c r="M690" s="111"/>
      <c r="N690" s="111"/>
    </row>
    <row r="691" spans="2:14" ht="15.75">
      <c r="B691" s="106">
        <v>658</v>
      </c>
      <c r="C691" s="107">
        <v>68</v>
      </c>
      <c r="D691" s="108"/>
      <c r="E691" s="25"/>
      <c r="F691" s="25"/>
      <c r="G691" s="112" t="s">
        <v>459</v>
      </c>
      <c r="H691" s="112">
        <v>16.670000000000002</v>
      </c>
      <c r="I691" s="112">
        <v>1</v>
      </c>
      <c r="J691" s="110">
        <v>2</v>
      </c>
      <c r="K691" s="112">
        <v>1</v>
      </c>
      <c r="L691" s="110">
        <f t="shared" si="42"/>
        <v>33.340000000000003</v>
      </c>
      <c r="M691" s="111"/>
      <c r="N691" s="111"/>
    </row>
    <row r="692" spans="2:14" s="138" customFormat="1" ht="63.75">
      <c r="B692" s="126">
        <v>659</v>
      </c>
      <c r="C692" s="127">
        <v>69</v>
      </c>
      <c r="D692" s="135" t="s">
        <v>127</v>
      </c>
      <c r="E692" s="129" t="s">
        <v>774</v>
      </c>
      <c r="F692" s="136" t="s">
        <v>775</v>
      </c>
      <c r="G692" s="131" t="s">
        <v>126</v>
      </c>
      <c r="H692" s="137" t="s">
        <v>671</v>
      </c>
      <c r="I692" s="131"/>
      <c r="J692" s="131"/>
      <c r="K692" s="131"/>
      <c r="L692" s="131">
        <f>SUM(L693:L707)</f>
        <v>7622.22</v>
      </c>
      <c r="M692" s="133">
        <v>7622.22</v>
      </c>
      <c r="N692" s="134">
        <v>7622.22</v>
      </c>
    </row>
    <row r="693" spans="2:14" ht="15.75">
      <c r="B693" s="106">
        <v>660</v>
      </c>
      <c r="C693" s="107">
        <v>69</v>
      </c>
      <c r="D693" s="108"/>
      <c r="E693" s="25"/>
      <c r="F693" s="25"/>
      <c r="G693" s="112" t="s">
        <v>453</v>
      </c>
      <c r="H693" s="112">
        <v>25</v>
      </c>
      <c r="I693" s="110">
        <v>2</v>
      </c>
      <c r="J693" s="110">
        <v>2</v>
      </c>
      <c r="K693" s="112">
        <v>5</v>
      </c>
      <c r="L693" s="110">
        <f>H693*I693*J693*K693</f>
        <v>500</v>
      </c>
      <c r="M693" s="111"/>
      <c r="N693" s="111"/>
    </row>
    <row r="694" spans="2:14" ht="15.75">
      <c r="B694" s="106">
        <v>661</v>
      </c>
      <c r="C694" s="117">
        <v>69</v>
      </c>
      <c r="D694" s="118"/>
      <c r="E694" s="55"/>
      <c r="F694" s="55"/>
      <c r="G694" s="119" t="s">
        <v>462</v>
      </c>
      <c r="H694" s="120">
        <v>25</v>
      </c>
      <c r="I694" s="121">
        <v>1</v>
      </c>
      <c r="J694" s="121">
        <v>2</v>
      </c>
      <c r="K694" s="120">
        <v>5</v>
      </c>
      <c r="L694" s="110">
        <f t="shared" ref="L694:L707" si="43">H694*I694*J694*K694</f>
        <v>250</v>
      </c>
      <c r="M694" s="111"/>
      <c r="N694" s="111"/>
    </row>
    <row r="695" spans="2:14" ht="15.75">
      <c r="B695" s="106">
        <v>662</v>
      </c>
      <c r="C695" s="117">
        <v>69</v>
      </c>
      <c r="D695" s="118"/>
      <c r="E695" s="55"/>
      <c r="F695" s="55"/>
      <c r="G695" s="119" t="s">
        <v>568</v>
      </c>
      <c r="H695" s="120">
        <v>4</v>
      </c>
      <c r="I695" s="121">
        <v>29</v>
      </c>
      <c r="J695" s="121">
        <v>1</v>
      </c>
      <c r="K695" s="120">
        <v>5</v>
      </c>
      <c r="L695" s="110">
        <f t="shared" si="43"/>
        <v>580</v>
      </c>
      <c r="M695" s="111"/>
      <c r="N695" s="111"/>
    </row>
    <row r="696" spans="2:14" ht="15.75">
      <c r="B696" s="106">
        <v>663</v>
      </c>
      <c r="C696" s="117">
        <v>69</v>
      </c>
      <c r="D696" s="118"/>
      <c r="E696" s="55"/>
      <c r="F696" s="55"/>
      <c r="G696" s="119" t="s">
        <v>569</v>
      </c>
      <c r="H696" s="120">
        <v>8</v>
      </c>
      <c r="I696" s="121">
        <v>29</v>
      </c>
      <c r="J696" s="121">
        <v>1</v>
      </c>
      <c r="K696" s="120">
        <v>5</v>
      </c>
      <c r="L696" s="110">
        <f t="shared" si="43"/>
        <v>1160</v>
      </c>
      <c r="M696" s="111"/>
      <c r="N696" s="111"/>
    </row>
    <row r="697" spans="2:14" ht="24">
      <c r="B697" s="106">
        <v>664</v>
      </c>
      <c r="C697" s="117">
        <v>69</v>
      </c>
      <c r="D697" s="118"/>
      <c r="E697" s="55"/>
      <c r="F697" s="55"/>
      <c r="G697" s="119" t="s">
        <v>570</v>
      </c>
      <c r="H697" s="120">
        <v>10</v>
      </c>
      <c r="I697" s="121">
        <v>25</v>
      </c>
      <c r="J697" s="121">
        <v>1</v>
      </c>
      <c r="K697" s="120">
        <v>5</v>
      </c>
      <c r="L697" s="110">
        <f t="shared" si="43"/>
        <v>1250</v>
      </c>
      <c r="M697" s="111"/>
      <c r="N697" s="111"/>
    </row>
    <row r="698" spans="2:14" ht="15.75">
      <c r="B698" s="106">
        <v>665</v>
      </c>
      <c r="C698" s="117">
        <v>69</v>
      </c>
      <c r="D698" s="118"/>
      <c r="E698" s="55"/>
      <c r="F698" s="55"/>
      <c r="G698" s="119" t="s">
        <v>432</v>
      </c>
      <c r="H698" s="120">
        <v>8</v>
      </c>
      <c r="I698" s="121">
        <v>1</v>
      </c>
      <c r="J698" s="121">
        <v>2</v>
      </c>
      <c r="K698" s="120">
        <v>5</v>
      </c>
      <c r="L698" s="110">
        <f t="shared" si="43"/>
        <v>80</v>
      </c>
      <c r="M698" s="111"/>
      <c r="N698" s="111"/>
    </row>
    <row r="699" spans="2:14" ht="15.75">
      <c r="B699" s="106">
        <v>666</v>
      </c>
      <c r="C699" s="117">
        <v>69</v>
      </c>
      <c r="D699" s="118"/>
      <c r="E699" s="55"/>
      <c r="F699" s="55"/>
      <c r="G699" s="119" t="s">
        <v>463</v>
      </c>
      <c r="H699" s="120">
        <v>119</v>
      </c>
      <c r="I699" s="121">
        <v>1</v>
      </c>
      <c r="J699" s="121">
        <v>2</v>
      </c>
      <c r="K699" s="120">
        <v>7</v>
      </c>
      <c r="L699" s="110">
        <f t="shared" si="43"/>
        <v>1666</v>
      </c>
      <c r="M699" s="111"/>
      <c r="N699" s="111"/>
    </row>
    <row r="700" spans="2:14" ht="15.75">
      <c r="B700" s="106">
        <v>667</v>
      </c>
      <c r="C700" s="117">
        <v>69</v>
      </c>
      <c r="D700" s="118"/>
      <c r="E700" s="55"/>
      <c r="F700" s="55"/>
      <c r="G700" s="119" t="s">
        <v>434</v>
      </c>
      <c r="H700" s="120">
        <v>10</v>
      </c>
      <c r="I700" s="121">
        <v>25</v>
      </c>
      <c r="J700" s="121">
        <v>1</v>
      </c>
      <c r="K700" s="120">
        <v>1</v>
      </c>
      <c r="L700" s="110">
        <f t="shared" si="43"/>
        <v>250</v>
      </c>
      <c r="M700" s="111"/>
      <c r="N700" s="111"/>
    </row>
    <row r="701" spans="2:14" ht="15.75">
      <c r="B701" s="106">
        <v>668</v>
      </c>
      <c r="C701" s="117">
        <v>69</v>
      </c>
      <c r="D701" s="118"/>
      <c r="E701" s="55"/>
      <c r="F701" s="55"/>
      <c r="G701" s="119" t="s">
        <v>455</v>
      </c>
      <c r="H701" s="120">
        <v>260</v>
      </c>
      <c r="I701" s="121">
        <v>1</v>
      </c>
      <c r="J701" s="121">
        <v>2</v>
      </c>
      <c r="K701" s="120">
        <v>1</v>
      </c>
      <c r="L701" s="110">
        <f t="shared" si="43"/>
        <v>520</v>
      </c>
      <c r="M701" s="111"/>
      <c r="N701" s="111"/>
    </row>
    <row r="702" spans="2:14" ht="15.75">
      <c r="B702" s="106">
        <v>669</v>
      </c>
      <c r="C702" s="117">
        <v>69</v>
      </c>
      <c r="D702" s="118"/>
      <c r="E702" s="55"/>
      <c r="F702" s="55"/>
      <c r="G702" s="119" t="s">
        <v>435</v>
      </c>
      <c r="H702" s="120">
        <v>70</v>
      </c>
      <c r="I702" s="121">
        <v>1</v>
      </c>
      <c r="J702" s="121">
        <v>2</v>
      </c>
      <c r="K702" s="120">
        <v>5</v>
      </c>
      <c r="L702" s="110">
        <f t="shared" si="43"/>
        <v>700</v>
      </c>
      <c r="M702" s="111"/>
      <c r="N702" s="111"/>
    </row>
    <row r="703" spans="2:14" ht="15.75">
      <c r="B703" s="106">
        <v>670</v>
      </c>
      <c r="C703" s="117">
        <v>69</v>
      </c>
      <c r="D703" s="118"/>
      <c r="E703" s="55"/>
      <c r="F703" s="55"/>
      <c r="G703" s="119" t="s">
        <v>443</v>
      </c>
      <c r="H703" s="120">
        <v>8.33</v>
      </c>
      <c r="I703" s="121">
        <v>5</v>
      </c>
      <c r="J703" s="121">
        <v>1</v>
      </c>
      <c r="K703" s="120">
        <v>1</v>
      </c>
      <c r="L703" s="110">
        <f t="shared" si="43"/>
        <v>41.65</v>
      </c>
      <c r="M703" s="111"/>
      <c r="N703" s="111"/>
    </row>
    <row r="704" spans="2:14" ht="15.75">
      <c r="B704" s="106">
        <v>671</v>
      </c>
      <c r="C704" s="117">
        <v>69</v>
      </c>
      <c r="D704" s="118"/>
      <c r="E704" s="55"/>
      <c r="F704" s="55"/>
      <c r="G704" s="119" t="s">
        <v>464</v>
      </c>
      <c r="H704" s="120">
        <v>305.56</v>
      </c>
      <c r="I704" s="120">
        <v>1</v>
      </c>
      <c r="J704" s="121">
        <v>1</v>
      </c>
      <c r="K704" s="120">
        <v>1</v>
      </c>
      <c r="L704" s="110">
        <f t="shared" si="43"/>
        <v>305.56</v>
      </c>
      <c r="M704" s="111"/>
      <c r="N704" s="111"/>
    </row>
    <row r="705" spans="2:14" ht="15.75">
      <c r="B705" s="106">
        <v>672</v>
      </c>
      <c r="C705" s="117">
        <v>69</v>
      </c>
      <c r="D705" s="118"/>
      <c r="E705" s="55"/>
      <c r="F705" s="55"/>
      <c r="G705" s="119" t="s">
        <v>465</v>
      </c>
      <c r="H705" s="120">
        <v>166.67</v>
      </c>
      <c r="I705" s="120">
        <v>1</v>
      </c>
      <c r="J705" s="121">
        <v>1</v>
      </c>
      <c r="K705" s="120">
        <v>1</v>
      </c>
      <c r="L705" s="110">
        <f t="shared" si="43"/>
        <v>166.67</v>
      </c>
      <c r="M705" s="111"/>
      <c r="N705" s="111"/>
    </row>
    <row r="706" spans="2:14" ht="15.75">
      <c r="B706" s="106">
        <v>673</v>
      </c>
      <c r="C706" s="117">
        <v>69</v>
      </c>
      <c r="D706" s="118"/>
      <c r="E706" s="55"/>
      <c r="F706" s="55"/>
      <c r="G706" s="119" t="s">
        <v>447</v>
      </c>
      <c r="H706" s="120">
        <v>1.19</v>
      </c>
      <c r="I706" s="120">
        <v>10</v>
      </c>
      <c r="J706" s="121">
        <v>2</v>
      </c>
      <c r="K706" s="120">
        <v>5</v>
      </c>
      <c r="L706" s="110">
        <f t="shared" si="43"/>
        <v>118.99999999999999</v>
      </c>
      <c r="M706" s="111"/>
      <c r="N706" s="111"/>
    </row>
    <row r="707" spans="2:14" ht="15.75">
      <c r="B707" s="106">
        <v>674</v>
      </c>
      <c r="C707" s="117">
        <v>69</v>
      </c>
      <c r="D707" s="118"/>
      <c r="E707" s="25"/>
      <c r="F707" s="25"/>
      <c r="G707" s="112" t="s">
        <v>459</v>
      </c>
      <c r="H707" s="112">
        <v>16.670000000000002</v>
      </c>
      <c r="I707" s="112">
        <v>1</v>
      </c>
      <c r="J707" s="110">
        <v>2</v>
      </c>
      <c r="K707" s="112">
        <v>1</v>
      </c>
      <c r="L707" s="110">
        <f t="shared" si="43"/>
        <v>33.340000000000003</v>
      </c>
      <c r="M707" s="111"/>
      <c r="N707" s="111"/>
    </row>
    <row r="708" spans="2:14" s="138" customFormat="1" ht="89.25">
      <c r="B708" s="126">
        <v>675</v>
      </c>
      <c r="C708" s="127">
        <v>70</v>
      </c>
      <c r="D708" s="135" t="s">
        <v>124</v>
      </c>
      <c r="E708" s="129" t="s">
        <v>125</v>
      </c>
      <c r="F708" s="136" t="s">
        <v>776</v>
      </c>
      <c r="G708" s="131" t="s">
        <v>777</v>
      </c>
      <c r="H708" s="137" t="s">
        <v>671</v>
      </c>
      <c r="I708" s="131"/>
      <c r="J708" s="131"/>
      <c r="K708" s="131"/>
      <c r="L708" s="131">
        <f>SUM(L709:L723)</f>
        <v>5669.1900000000005</v>
      </c>
      <c r="M708" s="133">
        <v>11338.38</v>
      </c>
      <c r="N708" s="134">
        <v>11338.38</v>
      </c>
    </row>
    <row r="709" spans="2:14" ht="15.75">
      <c r="B709" s="106">
        <v>676</v>
      </c>
      <c r="C709" s="117">
        <v>70</v>
      </c>
      <c r="D709" s="118"/>
      <c r="E709" s="25"/>
      <c r="F709" s="25"/>
      <c r="G709" s="112" t="s">
        <v>453</v>
      </c>
      <c r="H709" s="112">
        <v>25</v>
      </c>
      <c r="I709" s="110">
        <v>2</v>
      </c>
      <c r="J709" s="110">
        <v>1</v>
      </c>
      <c r="K709" s="112">
        <v>7</v>
      </c>
      <c r="L709" s="110">
        <f>H709*I709*J709*K709</f>
        <v>350</v>
      </c>
      <c r="M709" s="111"/>
      <c r="N709" s="111"/>
    </row>
    <row r="710" spans="2:14" ht="15.75">
      <c r="B710" s="106">
        <v>677</v>
      </c>
      <c r="C710" s="117">
        <v>70</v>
      </c>
      <c r="D710" s="118"/>
      <c r="E710" s="25"/>
      <c r="F710" s="25"/>
      <c r="G710" s="112" t="s">
        <v>462</v>
      </c>
      <c r="H710" s="112">
        <v>25</v>
      </c>
      <c r="I710" s="110">
        <v>1</v>
      </c>
      <c r="J710" s="110">
        <v>1</v>
      </c>
      <c r="K710" s="112">
        <v>7</v>
      </c>
      <c r="L710" s="110">
        <f t="shared" ref="L710:L723" si="44">H710*I710*J710*K710</f>
        <v>175</v>
      </c>
      <c r="M710" s="111"/>
      <c r="N710" s="111"/>
    </row>
    <row r="711" spans="2:14" ht="15.75">
      <c r="B711" s="106">
        <v>678</v>
      </c>
      <c r="C711" s="117">
        <v>70</v>
      </c>
      <c r="D711" s="118"/>
      <c r="E711" s="25"/>
      <c r="F711" s="25"/>
      <c r="G711" s="112" t="s">
        <v>568</v>
      </c>
      <c r="H711" s="112">
        <v>4</v>
      </c>
      <c r="I711" s="110">
        <v>15</v>
      </c>
      <c r="J711" s="110">
        <v>1</v>
      </c>
      <c r="K711" s="112">
        <v>7</v>
      </c>
      <c r="L711" s="110">
        <f t="shared" si="44"/>
        <v>420</v>
      </c>
      <c r="M711" s="111"/>
      <c r="N711" s="111"/>
    </row>
    <row r="712" spans="2:14" ht="15.75">
      <c r="B712" s="106">
        <v>679</v>
      </c>
      <c r="C712" s="117">
        <v>70</v>
      </c>
      <c r="D712" s="118"/>
      <c r="E712" s="25"/>
      <c r="F712" s="25"/>
      <c r="G712" s="112" t="s">
        <v>569</v>
      </c>
      <c r="H712" s="112">
        <v>8</v>
      </c>
      <c r="I712" s="110">
        <v>15</v>
      </c>
      <c r="J712" s="110">
        <v>1</v>
      </c>
      <c r="K712" s="112">
        <v>7</v>
      </c>
      <c r="L712" s="110">
        <f t="shared" si="44"/>
        <v>840</v>
      </c>
      <c r="M712" s="111"/>
      <c r="N712" s="111"/>
    </row>
    <row r="713" spans="2:14" ht="24">
      <c r="B713" s="106">
        <v>680</v>
      </c>
      <c r="C713" s="117">
        <v>70</v>
      </c>
      <c r="D713" s="118"/>
      <c r="E713" s="25"/>
      <c r="F713" s="25"/>
      <c r="G713" s="112" t="s">
        <v>570</v>
      </c>
      <c r="H713" s="112">
        <v>10</v>
      </c>
      <c r="I713" s="110">
        <v>18</v>
      </c>
      <c r="J713" s="110">
        <v>1</v>
      </c>
      <c r="K713" s="112">
        <v>7</v>
      </c>
      <c r="L713" s="110">
        <f t="shared" si="44"/>
        <v>1260</v>
      </c>
      <c r="M713" s="111"/>
      <c r="N713" s="111"/>
    </row>
    <row r="714" spans="2:14" ht="15.75">
      <c r="B714" s="106">
        <v>681</v>
      </c>
      <c r="C714" s="117">
        <v>70</v>
      </c>
      <c r="D714" s="118"/>
      <c r="E714" s="25"/>
      <c r="F714" s="25"/>
      <c r="G714" s="112" t="s">
        <v>432</v>
      </c>
      <c r="H714" s="112">
        <v>8</v>
      </c>
      <c r="I714" s="110">
        <v>1</v>
      </c>
      <c r="J714" s="110">
        <v>1</v>
      </c>
      <c r="K714" s="112">
        <v>7</v>
      </c>
      <c r="L714" s="110">
        <f t="shared" si="44"/>
        <v>56</v>
      </c>
      <c r="M714" s="111"/>
      <c r="N714" s="111"/>
    </row>
    <row r="715" spans="2:14" ht="15.75">
      <c r="B715" s="106">
        <v>682</v>
      </c>
      <c r="C715" s="117">
        <v>70</v>
      </c>
      <c r="D715" s="118"/>
      <c r="E715" s="25"/>
      <c r="F715" s="25"/>
      <c r="G715" s="112" t="s">
        <v>463</v>
      </c>
      <c r="H715" s="112">
        <v>119</v>
      </c>
      <c r="I715" s="110">
        <v>1</v>
      </c>
      <c r="J715" s="110">
        <v>1</v>
      </c>
      <c r="K715" s="112">
        <v>9</v>
      </c>
      <c r="L715" s="110">
        <f t="shared" si="44"/>
        <v>1071</v>
      </c>
      <c r="M715" s="111"/>
      <c r="N715" s="111"/>
    </row>
    <row r="716" spans="2:14" ht="15.75">
      <c r="B716" s="106">
        <v>683</v>
      </c>
      <c r="C716" s="117">
        <v>70</v>
      </c>
      <c r="D716" s="118"/>
      <c r="E716" s="25"/>
      <c r="F716" s="25"/>
      <c r="G716" s="112" t="s">
        <v>434</v>
      </c>
      <c r="H716" s="112">
        <v>10</v>
      </c>
      <c r="I716" s="110">
        <v>15</v>
      </c>
      <c r="J716" s="110">
        <v>1</v>
      </c>
      <c r="K716" s="112">
        <v>1</v>
      </c>
      <c r="L716" s="110">
        <f t="shared" si="44"/>
        <v>150</v>
      </c>
      <c r="M716" s="111"/>
      <c r="N716" s="111"/>
    </row>
    <row r="717" spans="2:14" ht="15.75">
      <c r="B717" s="106">
        <v>684</v>
      </c>
      <c r="C717" s="117">
        <v>70</v>
      </c>
      <c r="D717" s="118"/>
      <c r="E717" s="25"/>
      <c r="F717" s="25"/>
      <c r="G717" s="112" t="s">
        <v>455</v>
      </c>
      <c r="H717" s="112">
        <v>260</v>
      </c>
      <c r="I717" s="110">
        <v>1</v>
      </c>
      <c r="J717" s="110">
        <v>1</v>
      </c>
      <c r="K717" s="112">
        <v>1</v>
      </c>
      <c r="L717" s="110">
        <f t="shared" si="44"/>
        <v>260</v>
      </c>
      <c r="M717" s="111"/>
      <c r="N717" s="111"/>
    </row>
    <row r="718" spans="2:14" ht="15.75">
      <c r="B718" s="106">
        <v>685</v>
      </c>
      <c r="C718" s="117">
        <v>70</v>
      </c>
      <c r="D718" s="118"/>
      <c r="E718" s="25"/>
      <c r="F718" s="25"/>
      <c r="G718" s="112" t="s">
        <v>435</v>
      </c>
      <c r="H718" s="112">
        <v>70</v>
      </c>
      <c r="I718" s="110">
        <v>1</v>
      </c>
      <c r="J718" s="110">
        <v>1</v>
      </c>
      <c r="K718" s="112">
        <v>7</v>
      </c>
      <c r="L718" s="110">
        <f t="shared" si="44"/>
        <v>490</v>
      </c>
      <c r="M718" s="111"/>
      <c r="N718" s="111"/>
    </row>
    <row r="719" spans="2:14" ht="15.75">
      <c r="B719" s="106">
        <v>686</v>
      </c>
      <c r="C719" s="117">
        <v>70</v>
      </c>
      <c r="D719" s="118"/>
      <c r="E719" s="25"/>
      <c r="F719" s="25"/>
      <c r="G719" s="112" t="s">
        <v>443</v>
      </c>
      <c r="H719" s="112">
        <v>8.33</v>
      </c>
      <c r="I719" s="110">
        <v>3</v>
      </c>
      <c r="J719" s="110">
        <v>1</v>
      </c>
      <c r="K719" s="112">
        <v>1</v>
      </c>
      <c r="L719" s="110">
        <f t="shared" si="44"/>
        <v>24.990000000000002</v>
      </c>
      <c r="M719" s="111"/>
      <c r="N719" s="111"/>
    </row>
    <row r="720" spans="2:14" ht="15.75">
      <c r="B720" s="106">
        <v>687</v>
      </c>
      <c r="C720" s="117">
        <v>70</v>
      </c>
      <c r="D720" s="118"/>
      <c r="E720" s="25"/>
      <c r="F720" s="25"/>
      <c r="G720" s="112" t="s">
        <v>464</v>
      </c>
      <c r="H720" s="112">
        <v>305.56</v>
      </c>
      <c r="I720" s="112">
        <v>1</v>
      </c>
      <c r="J720" s="110">
        <v>1</v>
      </c>
      <c r="K720" s="112">
        <v>1</v>
      </c>
      <c r="L720" s="110">
        <f t="shared" si="44"/>
        <v>305.56</v>
      </c>
      <c r="M720" s="111"/>
      <c r="N720" s="111"/>
    </row>
    <row r="721" spans="2:14" ht="15.75">
      <c r="B721" s="106">
        <v>688</v>
      </c>
      <c r="C721" s="117">
        <v>70</v>
      </c>
      <c r="D721" s="118"/>
      <c r="E721" s="25"/>
      <c r="F721" s="25"/>
      <c r="G721" s="112" t="s">
        <v>465</v>
      </c>
      <c r="H721" s="112">
        <v>166.67</v>
      </c>
      <c r="I721" s="112">
        <v>1</v>
      </c>
      <c r="J721" s="110">
        <v>1</v>
      </c>
      <c r="K721" s="112">
        <v>1</v>
      </c>
      <c r="L721" s="110">
        <f t="shared" si="44"/>
        <v>166.67</v>
      </c>
      <c r="M721" s="111"/>
      <c r="N721" s="111"/>
    </row>
    <row r="722" spans="2:14" ht="15.75">
      <c r="B722" s="106">
        <v>689</v>
      </c>
      <c r="C722" s="117">
        <v>70</v>
      </c>
      <c r="D722" s="118"/>
      <c r="E722" s="25"/>
      <c r="F722" s="25"/>
      <c r="G722" s="112" t="s">
        <v>447</v>
      </c>
      <c r="H722" s="112">
        <v>1.19</v>
      </c>
      <c r="I722" s="112">
        <v>10</v>
      </c>
      <c r="J722" s="110">
        <v>1</v>
      </c>
      <c r="K722" s="112">
        <v>7</v>
      </c>
      <c r="L722" s="110">
        <f t="shared" si="44"/>
        <v>83.299999999999983</v>
      </c>
      <c r="M722" s="111"/>
      <c r="N722" s="111"/>
    </row>
    <row r="723" spans="2:14" ht="15.75">
      <c r="B723" s="106">
        <v>690</v>
      </c>
      <c r="C723" s="117">
        <v>70</v>
      </c>
      <c r="D723" s="118"/>
      <c r="E723" s="25"/>
      <c r="F723" s="25"/>
      <c r="G723" s="112" t="s">
        <v>459</v>
      </c>
      <c r="H723" s="112">
        <v>16.670000000000002</v>
      </c>
      <c r="I723" s="112">
        <v>1</v>
      </c>
      <c r="J723" s="110">
        <v>1</v>
      </c>
      <c r="K723" s="112">
        <v>1</v>
      </c>
      <c r="L723" s="110">
        <f t="shared" si="44"/>
        <v>16.670000000000002</v>
      </c>
      <c r="M723" s="111"/>
      <c r="N723" s="111"/>
    </row>
    <row r="724" spans="2:14" s="138" customFormat="1" ht="25.5">
      <c r="B724" s="126">
        <v>691</v>
      </c>
      <c r="C724" s="127">
        <v>71</v>
      </c>
      <c r="D724" s="135" t="s">
        <v>123</v>
      </c>
      <c r="E724" s="129" t="s">
        <v>122</v>
      </c>
      <c r="F724" s="136" t="s">
        <v>778</v>
      </c>
      <c r="G724" s="131" t="s">
        <v>779</v>
      </c>
      <c r="H724" s="137" t="s">
        <v>671</v>
      </c>
      <c r="I724" s="131"/>
      <c r="J724" s="131"/>
      <c r="K724" s="131"/>
      <c r="L724" s="139">
        <f>SUM(L725:L726)</f>
        <v>2708.33</v>
      </c>
      <c r="M724" s="133">
        <v>13541.67</v>
      </c>
      <c r="N724" s="134">
        <v>8124.99</v>
      </c>
    </row>
    <row r="725" spans="2:14" ht="36">
      <c r="B725" s="106">
        <v>692</v>
      </c>
      <c r="C725" s="117">
        <v>71</v>
      </c>
      <c r="D725" s="118"/>
      <c r="E725" s="25"/>
      <c r="F725" s="25"/>
      <c r="G725" s="103" t="s">
        <v>780</v>
      </c>
      <c r="H725" s="112" t="s">
        <v>671</v>
      </c>
      <c r="I725" s="103"/>
      <c r="J725" s="103"/>
      <c r="K725" s="103"/>
      <c r="L725" s="110"/>
      <c r="M725" s="141">
        <v>2708.33</v>
      </c>
      <c r="N725" s="111"/>
    </row>
    <row r="726" spans="2:14" ht="15.75">
      <c r="B726" s="106">
        <v>693</v>
      </c>
      <c r="C726" s="117">
        <v>71</v>
      </c>
      <c r="D726" s="118"/>
      <c r="E726" s="25"/>
      <c r="F726" s="25"/>
      <c r="G726" s="112" t="s">
        <v>610</v>
      </c>
      <c r="H726" s="112">
        <v>1.67</v>
      </c>
      <c r="I726" s="112">
        <f>325-0.649101796407194</f>
        <v>324.35089820359281</v>
      </c>
      <c r="J726" s="112">
        <v>5</v>
      </c>
      <c r="K726" s="112">
        <v>1</v>
      </c>
      <c r="L726" s="110">
        <f>H726*I726*J726*K726</f>
        <v>2708.33</v>
      </c>
      <c r="M726" s="111"/>
      <c r="N726" s="111"/>
    </row>
    <row r="727" spans="2:14" s="138" customFormat="1" ht="38.25">
      <c r="B727" s="126">
        <v>694</v>
      </c>
      <c r="C727" s="127">
        <v>72</v>
      </c>
      <c r="D727" s="135" t="s">
        <v>121</v>
      </c>
      <c r="E727" s="129" t="s">
        <v>781</v>
      </c>
      <c r="F727" s="136" t="s">
        <v>782</v>
      </c>
      <c r="G727" s="131" t="s">
        <v>611</v>
      </c>
      <c r="H727" s="137" t="s">
        <v>671</v>
      </c>
      <c r="I727" s="131"/>
      <c r="J727" s="131"/>
      <c r="K727" s="131"/>
      <c r="L727" s="131">
        <f>SUM(L728)</f>
        <v>7140</v>
      </c>
      <c r="M727" s="133">
        <v>35700</v>
      </c>
      <c r="N727" s="134">
        <v>21420</v>
      </c>
    </row>
    <row r="728" spans="2:14" ht="15.75">
      <c r="B728" s="106">
        <v>695</v>
      </c>
      <c r="C728" s="117">
        <v>72</v>
      </c>
      <c r="D728" s="118"/>
      <c r="E728" s="25"/>
      <c r="F728" s="25"/>
      <c r="G728" s="112" t="s">
        <v>447</v>
      </c>
      <c r="H728" s="112">
        <v>1.19</v>
      </c>
      <c r="I728" s="112">
        <v>100</v>
      </c>
      <c r="J728" s="112">
        <v>5</v>
      </c>
      <c r="K728" s="112">
        <v>12</v>
      </c>
      <c r="L728" s="110">
        <f>H728*I728*J728*K728</f>
        <v>7140</v>
      </c>
      <c r="M728" s="111"/>
      <c r="N728" s="111"/>
    </row>
    <row r="729" spans="2:14" s="138" customFormat="1" ht="38.25">
      <c r="B729" s="126">
        <v>696</v>
      </c>
      <c r="C729" s="127">
        <v>73</v>
      </c>
      <c r="D729" s="135" t="s">
        <v>120</v>
      </c>
      <c r="E729" s="129" t="s">
        <v>119</v>
      </c>
      <c r="F729" s="130" t="s">
        <v>783</v>
      </c>
      <c r="G729" s="131" t="s">
        <v>119</v>
      </c>
      <c r="H729" s="137" t="s">
        <v>671</v>
      </c>
      <c r="I729" s="131"/>
      <c r="J729" s="131"/>
      <c r="K729" s="131"/>
      <c r="L729" s="139">
        <f>SUM(L730:L744)</f>
        <v>4161.3900000000003</v>
      </c>
      <c r="M729" s="166">
        <v>4161.3900000000003</v>
      </c>
      <c r="N729" s="134">
        <v>4161.3900000000003</v>
      </c>
    </row>
    <row r="730" spans="2:14" ht="15.75">
      <c r="B730" s="106">
        <v>697</v>
      </c>
      <c r="C730" s="117">
        <v>73</v>
      </c>
      <c r="D730" s="118"/>
      <c r="E730" s="25"/>
      <c r="F730" s="25"/>
      <c r="G730" s="112" t="s">
        <v>453</v>
      </c>
      <c r="H730" s="112">
        <v>25</v>
      </c>
      <c r="I730" s="110">
        <v>2</v>
      </c>
      <c r="J730" s="110">
        <v>1</v>
      </c>
      <c r="K730" s="112">
        <v>5</v>
      </c>
      <c r="L730" s="110">
        <f t="shared" ref="L730:L744" si="45">H730*I730*J730*K730</f>
        <v>250</v>
      </c>
      <c r="M730" s="111"/>
      <c r="N730" s="111"/>
    </row>
    <row r="731" spans="2:14" ht="15.75">
      <c r="B731" s="106">
        <v>698</v>
      </c>
      <c r="C731" s="117">
        <v>73</v>
      </c>
      <c r="D731" s="118"/>
      <c r="E731" s="25"/>
      <c r="F731" s="25"/>
      <c r="G731" s="112" t="s">
        <v>462</v>
      </c>
      <c r="H731" s="112">
        <v>25</v>
      </c>
      <c r="I731" s="110">
        <v>1</v>
      </c>
      <c r="J731" s="110">
        <v>1</v>
      </c>
      <c r="K731" s="112">
        <v>5</v>
      </c>
      <c r="L731" s="110">
        <f t="shared" si="45"/>
        <v>125</v>
      </c>
      <c r="M731" s="111"/>
      <c r="N731" s="111"/>
    </row>
    <row r="732" spans="2:14" ht="15.75">
      <c r="B732" s="106">
        <v>699</v>
      </c>
      <c r="C732" s="117">
        <v>73</v>
      </c>
      <c r="D732" s="118"/>
      <c r="E732" s="25"/>
      <c r="F732" s="25"/>
      <c r="G732" s="112" t="s">
        <v>568</v>
      </c>
      <c r="H732" s="112">
        <v>4</v>
      </c>
      <c r="I732" s="110">
        <v>18</v>
      </c>
      <c r="J732" s="110">
        <v>1</v>
      </c>
      <c r="K732" s="112">
        <v>5</v>
      </c>
      <c r="L732" s="110">
        <f t="shared" si="45"/>
        <v>360</v>
      </c>
      <c r="M732" s="111"/>
      <c r="N732" s="111"/>
    </row>
    <row r="733" spans="2:14" ht="15.75">
      <c r="B733" s="106">
        <v>700</v>
      </c>
      <c r="C733" s="117">
        <v>73</v>
      </c>
      <c r="D733" s="118"/>
      <c r="E733" s="25"/>
      <c r="F733" s="25"/>
      <c r="G733" s="112" t="s">
        <v>569</v>
      </c>
      <c r="H733" s="112">
        <v>8</v>
      </c>
      <c r="I733" s="110">
        <v>18</v>
      </c>
      <c r="J733" s="110">
        <v>1</v>
      </c>
      <c r="K733" s="112">
        <v>5</v>
      </c>
      <c r="L733" s="110">
        <f t="shared" si="45"/>
        <v>720</v>
      </c>
      <c r="M733" s="111"/>
      <c r="N733" s="111"/>
    </row>
    <row r="734" spans="2:14" ht="24">
      <c r="B734" s="106">
        <v>701</v>
      </c>
      <c r="C734" s="117">
        <v>73</v>
      </c>
      <c r="D734" s="118"/>
      <c r="E734" s="25"/>
      <c r="F734" s="25"/>
      <c r="G734" s="112" t="s">
        <v>570</v>
      </c>
      <c r="H734" s="112">
        <v>10</v>
      </c>
      <c r="I734" s="110">
        <v>15</v>
      </c>
      <c r="J734" s="110">
        <v>1</v>
      </c>
      <c r="K734" s="112">
        <v>5</v>
      </c>
      <c r="L734" s="110">
        <f t="shared" si="45"/>
        <v>750</v>
      </c>
      <c r="M734" s="111"/>
      <c r="N734" s="111"/>
    </row>
    <row r="735" spans="2:14" ht="15.75">
      <c r="B735" s="106">
        <v>702</v>
      </c>
      <c r="C735" s="117">
        <v>73</v>
      </c>
      <c r="D735" s="118"/>
      <c r="E735" s="25"/>
      <c r="F735" s="25"/>
      <c r="G735" s="112" t="s">
        <v>432</v>
      </c>
      <c r="H735" s="112">
        <v>8</v>
      </c>
      <c r="I735" s="110">
        <v>1</v>
      </c>
      <c r="J735" s="110">
        <v>1</v>
      </c>
      <c r="K735" s="112">
        <v>5</v>
      </c>
      <c r="L735" s="110">
        <f t="shared" si="45"/>
        <v>40</v>
      </c>
      <c r="M735" s="111"/>
      <c r="N735" s="111"/>
    </row>
    <row r="736" spans="2:14" ht="15.75">
      <c r="B736" s="106">
        <v>703</v>
      </c>
      <c r="C736" s="117">
        <v>73</v>
      </c>
      <c r="D736" s="118"/>
      <c r="E736" s="25"/>
      <c r="F736" s="25"/>
      <c r="G736" s="112" t="s">
        <v>463</v>
      </c>
      <c r="H736" s="112">
        <v>119</v>
      </c>
      <c r="I736" s="110">
        <v>1</v>
      </c>
      <c r="J736" s="110">
        <v>1</v>
      </c>
      <c r="K736" s="112">
        <v>7</v>
      </c>
      <c r="L736" s="110">
        <f t="shared" si="45"/>
        <v>833</v>
      </c>
      <c r="M736" s="111"/>
      <c r="N736" s="111"/>
    </row>
    <row r="737" spans="2:14" ht="15.75">
      <c r="B737" s="106">
        <v>704</v>
      </c>
      <c r="C737" s="117">
        <v>73</v>
      </c>
      <c r="D737" s="118"/>
      <c r="E737" s="25"/>
      <c r="F737" s="25"/>
      <c r="G737" s="112" t="s">
        <v>434</v>
      </c>
      <c r="H737" s="112">
        <v>10</v>
      </c>
      <c r="I737" s="110">
        <v>15</v>
      </c>
      <c r="J737" s="110">
        <v>1</v>
      </c>
      <c r="K737" s="112">
        <v>1</v>
      </c>
      <c r="L737" s="110">
        <f t="shared" si="45"/>
        <v>150</v>
      </c>
      <c r="M737" s="111"/>
      <c r="N737" s="111"/>
    </row>
    <row r="738" spans="2:14" ht="15.75">
      <c r="B738" s="106">
        <v>705</v>
      </c>
      <c r="C738" s="117">
        <v>73</v>
      </c>
      <c r="D738" s="118"/>
      <c r="E738" s="25"/>
      <c r="F738" s="25"/>
      <c r="G738" s="112" t="s">
        <v>455</v>
      </c>
      <c r="H738" s="112">
        <v>260.39</v>
      </c>
      <c r="I738" s="110">
        <v>1</v>
      </c>
      <c r="J738" s="110">
        <v>1</v>
      </c>
      <c r="K738" s="112">
        <v>1</v>
      </c>
      <c r="L738" s="110">
        <f t="shared" si="45"/>
        <v>260.39</v>
      </c>
      <c r="M738" s="111"/>
      <c r="N738" s="111"/>
    </row>
    <row r="739" spans="2:14" ht="15.75">
      <c r="B739" s="106">
        <v>706</v>
      </c>
      <c r="C739" s="117">
        <v>73</v>
      </c>
      <c r="D739" s="118"/>
      <c r="E739" s="25"/>
      <c r="F739" s="25"/>
      <c r="G739" s="112" t="s">
        <v>435</v>
      </c>
      <c r="H739" s="112">
        <v>20</v>
      </c>
      <c r="I739" s="110">
        <v>1</v>
      </c>
      <c r="J739" s="110">
        <v>1</v>
      </c>
      <c r="K739" s="112">
        <v>5</v>
      </c>
      <c r="L739" s="110">
        <f t="shared" si="45"/>
        <v>100</v>
      </c>
      <c r="M739" s="111"/>
      <c r="N739" s="111"/>
    </row>
    <row r="740" spans="2:14" ht="15.75">
      <c r="B740" s="106">
        <v>707</v>
      </c>
      <c r="C740" s="117">
        <v>73</v>
      </c>
      <c r="D740" s="118"/>
      <c r="E740" s="25"/>
      <c r="F740" s="25"/>
      <c r="G740" s="112" t="s">
        <v>443</v>
      </c>
      <c r="H740" s="112">
        <v>8.33</v>
      </c>
      <c r="I740" s="110">
        <v>3</v>
      </c>
      <c r="J740" s="110">
        <v>1</v>
      </c>
      <c r="K740" s="112">
        <v>1</v>
      </c>
      <c r="L740" s="110">
        <f t="shared" si="45"/>
        <v>24.990000000000002</v>
      </c>
      <c r="M740" s="111"/>
      <c r="N740" s="111"/>
    </row>
    <row r="741" spans="2:14" ht="15.75">
      <c r="B741" s="106">
        <v>708</v>
      </c>
      <c r="C741" s="117">
        <v>73</v>
      </c>
      <c r="D741" s="118"/>
      <c r="E741" s="25"/>
      <c r="F741" s="25"/>
      <c r="G741" s="112" t="s">
        <v>464</v>
      </c>
      <c r="H741" s="112">
        <f>305.56-0.389999999999418</f>
        <v>305.17000000000058</v>
      </c>
      <c r="I741" s="112">
        <v>1</v>
      </c>
      <c r="J741" s="110">
        <v>1</v>
      </c>
      <c r="K741" s="112">
        <v>1</v>
      </c>
      <c r="L741" s="110">
        <f>H741*I741*J741*K741</f>
        <v>305.17000000000058</v>
      </c>
      <c r="M741" s="111"/>
      <c r="N741" s="111"/>
    </row>
    <row r="742" spans="2:14" ht="15.75">
      <c r="B742" s="106">
        <v>709</v>
      </c>
      <c r="C742" s="117">
        <v>73</v>
      </c>
      <c r="D742" s="118"/>
      <c r="E742" s="25"/>
      <c r="F742" s="25"/>
      <c r="G742" s="112" t="s">
        <v>465</v>
      </c>
      <c r="H742" s="112">
        <v>166.67</v>
      </c>
      <c r="I742" s="112">
        <v>1</v>
      </c>
      <c r="J742" s="110">
        <v>1</v>
      </c>
      <c r="K742" s="112">
        <v>1</v>
      </c>
      <c r="L742" s="110">
        <f t="shared" si="45"/>
        <v>166.67</v>
      </c>
      <c r="M742" s="111"/>
      <c r="N742" s="111"/>
    </row>
    <row r="743" spans="2:14" ht="15.75">
      <c r="B743" s="106">
        <v>710</v>
      </c>
      <c r="C743" s="117">
        <v>73</v>
      </c>
      <c r="D743" s="118"/>
      <c r="E743" s="25"/>
      <c r="F743" s="25"/>
      <c r="G743" s="112" t="s">
        <v>447</v>
      </c>
      <c r="H743" s="112">
        <v>1.19</v>
      </c>
      <c r="I743" s="112">
        <v>10</v>
      </c>
      <c r="J743" s="110">
        <v>1</v>
      </c>
      <c r="K743" s="112">
        <v>5</v>
      </c>
      <c r="L743" s="110">
        <f t="shared" si="45"/>
        <v>59.499999999999993</v>
      </c>
      <c r="M743" s="111"/>
      <c r="N743" s="111"/>
    </row>
    <row r="744" spans="2:14" ht="15.75">
      <c r="B744" s="106">
        <v>711</v>
      </c>
      <c r="C744" s="117">
        <v>73</v>
      </c>
      <c r="D744" s="118"/>
      <c r="E744" s="25"/>
      <c r="F744" s="25"/>
      <c r="G744" s="112" t="s">
        <v>459</v>
      </c>
      <c r="H744" s="112">
        <v>16.670000000000002</v>
      </c>
      <c r="I744" s="112">
        <v>1</v>
      </c>
      <c r="J744" s="110">
        <v>1</v>
      </c>
      <c r="K744" s="112">
        <v>1</v>
      </c>
      <c r="L744" s="110">
        <f t="shared" si="45"/>
        <v>16.670000000000002</v>
      </c>
      <c r="M744" s="111"/>
      <c r="N744" s="111"/>
    </row>
    <row r="745" spans="2:14" s="138" customFormat="1" ht="51">
      <c r="B745" s="126">
        <v>712</v>
      </c>
      <c r="C745" s="127">
        <v>74</v>
      </c>
      <c r="D745" s="135" t="s">
        <v>118</v>
      </c>
      <c r="E745" s="129" t="s">
        <v>784</v>
      </c>
      <c r="F745" s="136" t="s">
        <v>785</v>
      </c>
      <c r="G745" s="131" t="s">
        <v>117</v>
      </c>
      <c r="H745" s="137" t="s">
        <v>671</v>
      </c>
      <c r="I745" s="131"/>
      <c r="J745" s="131"/>
      <c r="K745" s="131"/>
      <c r="L745" s="139">
        <f>SUM(L746:L760)</f>
        <v>20725.560000000001</v>
      </c>
      <c r="M745" s="166">
        <v>20725.560000000001</v>
      </c>
      <c r="N745" s="134">
        <v>20725.560000000001</v>
      </c>
    </row>
    <row r="746" spans="2:14" ht="15.75">
      <c r="B746" s="106">
        <v>713</v>
      </c>
      <c r="C746" s="117">
        <v>74</v>
      </c>
      <c r="D746" s="118"/>
      <c r="E746" s="25"/>
      <c r="F746" s="25"/>
      <c r="G746" s="112" t="s">
        <v>453</v>
      </c>
      <c r="H746" s="112">
        <v>25</v>
      </c>
      <c r="I746" s="110">
        <v>2</v>
      </c>
      <c r="J746" s="110">
        <v>4</v>
      </c>
      <c r="K746" s="112">
        <v>5</v>
      </c>
      <c r="L746" s="110">
        <f>H746*I746*J746*K746</f>
        <v>1000</v>
      </c>
      <c r="M746" s="111"/>
      <c r="N746" s="111"/>
    </row>
    <row r="747" spans="2:14" ht="15.75">
      <c r="B747" s="106">
        <v>714</v>
      </c>
      <c r="C747" s="117">
        <v>74</v>
      </c>
      <c r="D747" s="118"/>
      <c r="E747" s="25"/>
      <c r="F747" s="25"/>
      <c r="G747" s="112" t="s">
        <v>462</v>
      </c>
      <c r="H747" s="112">
        <v>25</v>
      </c>
      <c r="I747" s="110">
        <v>1</v>
      </c>
      <c r="J747" s="110">
        <v>4</v>
      </c>
      <c r="K747" s="112">
        <v>5</v>
      </c>
      <c r="L747" s="110">
        <f t="shared" ref="L747:L760" si="46">H747*I747*J747*K747</f>
        <v>500</v>
      </c>
      <c r="M747" s="111"/>
      <c r="N747" s="111"/>
    </row>
    <row r="748" spans="2:14" ht="15.75">
      <c r="B748" s="106">
        <v>715</v>
      </c>
      <c r="C748" s="117">
        <v>74</v>
      </c>
      <c r="D748" s="118"/>
      <c r="E748" s="25"/>
      <c r="F748" s="25"/>
      <c r="G748" s="112" t="s">
        <v>568</v>
      </c>
      <c r="H748" s="112">
        <v>4</v>
      </c>
      <c r="I748" s="110">
        <v>25</v>
      </c>
      <c r="J748" s="110">
        <v>4</v>
      </c>
      <c r="K748" s="112">
        <v>5</v>
      </c>
      <c r="L748" s="110">
        <f t="shared" si="46"/>
        <v>2000</v>
      </c>
      <c r="M748" s="111"/>
      <c r="N748" s="111"/>
    </row>
    <row r="749" spans="2:14" ht="15.75">
      <c r="B749" s="106">
        <v>716</v>
      </c>
      <c r="C749" s="117">
        <v>74</v>
      </c>
      <c r="D749" s="118"/>
      <c r="E749" s="25"/>
      <c r="F749" s="25"/>
      <c r="G749" s="112" t="s">
        <v>569</v>
      </c>
      <c r="H749" s="112">
        <v>8</v>
      </c>
      <c r="I749" s="110">
        <v>25</v>
      </c>
      <c r="J749" s="110">
        <v>4</v>
      </c>
      <c r="K749" s="112">
        <v>5</v>
      </c>
      <c r="L749" s="110">
        <f t="shared" si="46"/>
        <v>4000</v>
      </c>
      <c r="M749" s="111"/>
      <c r="N749" s="111"/>
    </row>
    <row r="750" spans="2:14" ht="24">
      <c r="B750" s="106">
        <v>717</v>
      </c>
      <c r="C750" s="117">
        <v>74</v>
      </c>
      <c r="D750" s="118"/>
      <c r="E750" s="25"/>
      <c r="F750" s="25"/>
      <c r="G750" s="112" t="s">
        <v>570</v>
      </c>
      <c r="H750" s="112">
        <v>10</v>
      </c>
      <c r="I750" s="110">
        <v>20</v>
      </c>
      <c r="J750" s="110">
        <v>4</v>
      </c>
      <c r="K750" s="112">
        <v>5</v>
      </c>
      <c r="L750" s="110">
        <f t="shared" si="46"/>
        <v>4000</v>
      </c>
      <c r="M750" s="111"/>
      <c r="N750" s="111"/>
    </row>
    <row r="751" spans="2:14" ht="15.75">
      <c r="B751" s="106">
        <v>718</v>
      </c>
      <c r="C751" s="117">
        <v>74</v>
      </c>
      <c r="D751" s="118"/>
      <c r="E751" s="25"/>
      <c r="F751" s="25"/>
      <c r="G751" s="112" t="s">
        <v>432</v>
      </c>
      <c r="H751" s="112">
        <v>8</v>
      </c>
      <c r="I751" s="110">
        <v>1</v>
      </c>
      <c r="J751" s="110">
        <v>4</v>
      </c>
      <c r="K751" s="112">
        <v>5</v>
      </c>
      <c r="L751" s="110">
        <f t="shared" si="46"/>
        <v>160</v>
      </c>
      <c r="M751" s="111"/>
      <c r="N751" s="111"/>
    </row>
    <row r="752" spans="2:14" ht="15.75">
      <c r="B752" s="106">
        <v>719</v>
      </c>
      <c r="C752" s="117">
        <v>74</v>
      </c>
      <c r="D752" s="118"/>
      <c r="E752" s="25"/>
      <c r="F752" s="25"/>
      <c r="G752" s="112" t="s">
        <v>463</v>
      </c>
      <c r="H752" s="112">
        <v>119</v>
      </c>
      <c r="I752" s="110">
        <v>1</v>
      </c>
      <c r="J752" s="110">
        <v>4</v>
      </c>
      <c r="K752" s="112">
        <v>7</v>
      </c>
      <c r="L752" s="110">
        <f t="shared" si="46"/>
        <v>3332</v>
      </c>
      <c r="M752" s="111"/>
      <c r="N752" s="111"/>
    </row>
    <row r="753" spans="2:14" ht="15.75">
      <c r="B753" s="106">
        <v>720</v>
      </c>
      <c r="C753" s="117">
        <v>74</v>
      </c>
      <c r="D753" s="118"/>
      <c r="E753" s="25"/>
      <c r="F753" s="25"/>
      <c r="G753" s="112" t="s">
        <v>434</v>
      </c>
      <c r="H753" s="112">
        <v>10</v>
      </c>
      <c r="I753" s="110">
        <v>25</v>
      </c>
      <c r="J753" s="110">
        <v>4</v>
      </c>
      <c r="K753" s="112">
        <v>1</v>
      </c>
      <c r="L753" s="110">
        <f t="shared" si="46"/>
        <v>1000</v>
      </c>
      <c r="M753" s="111"/>
      <c r="N753" s="111"/>
    </row>
    <row r="754" spans="2:14" ht="15.75">
      <c r="B754" s="106">
        <v>721</v>
      </c>
      <c r="C754" s="117">
        <v>74</v>
      </c>
      <c r="D754" s="118"/>
      <c r="E754" s="25"/>
      <c r="F754" s="25"/>
      <c r="G754" s="112" t="s">
        <v>455</v>
      </c>
      <c r="H754" s="112">
        <v>260</v>
      </c>
      <c r="I754" s="110">
        <v>1</v>
      </c>
      <c r="J754" s="110">
        <v>4</v>
      </c>
      <c r="K754" s="112">
        <v>1</v>
      </c>
      <c r="L754" s="110">
        <f t="shared" si="46"/>
        <v>1040</v>
      </c>
      <c r="M754" s="111"/>
      <c r="N754" s="111"/>
    </row>
    <row r="755" spans="2:14" ht="15.75">
      <c r="B755" s="106">
        <v>722</v>
      </c>
      <c r="C755" s="117">
        <v>74</v>
      </c>
      <c r="D755" s="118"/>
      <c r="E755" s="25"/>
      <c r="F755" s="25"/>
      <c r="G755" s="112" t="s">
        <v>435</v>
      </c>
      <c r="H755" s="112">
        <v>70</v>
      </c>
      <c r="I755" s="110">
        <v>1</v>
      </c>
      <c r="J755" s="110">
        <v>4</v>
      </c>
      <c r="K755" s="112">
        <v>5</v>
      </c>
      <c r="L755" s="110">
        <f t="shared" si="46"/>
        <v>1400</v>
      </c>
      <c r="M755" s="111"/>
      <c r="N755" s="111"/>
    </row>
    <row r="756" spans="2:14" ht="15.75">
      <c r="B756" s="106">
        <v>723</v>
      </c>
      <c r="C756" s="117">
        <v>74</v>
      </c>
      <c r="D756" s="118"/>
      <c r="E756" s="25"/>
      <c r="F756" s="25"/>
      <c r="G756" s="112" t="s">
        <v>443</v>
      </c>
      <c r="H756" s="112">
        <v>8.33</v>
      </c>
      <c r="I756" s="110">
        <v>3</v>
      </c>
      <c r="J756" s="110">
        <v>4</v>
      </c>
      <c r="K756" s="112">
        <v>1</v>
      </c>
      <c r="L756" s="110">
        <f t="shared" si="46"/>
        <v>99.960000000000008</v>
      </c>
      <c r="M756" s="111"/>
      <c r="N756" s="111"/>
    </row>
    <row r="757" spans="2:14" ht="15.75">
      <c r="B757" s="106">
        <v>724</v>
      </c>
      <c r="C757" s="117">
        <v>74</v>
      </c>
      <c r="D757" s="118"/>
      <c r="E757" s="25"/>
      <c r="F757" s="25"/>
      <c r="G757" s="112" t="s">
        <v>464</v>
      </c>
      <c r="H757" s="112">
        <v>305.56</v>
      </c>
      <c r="I757" s="112">
        <v>1</v>
      </c>
      <c r="J757" s="110">
        <v>4</v>
      </c>
      <c r="K757" s="112">
        <v>1</v>
      </c>
      <c r="L757" s="110">
        <f t="shared" si="46"/>
        <v>1222.24</v>
      </c>
      <c r="M757" s="111"/>
      <c r="N757" s="111"/>
    </row>
    <row r="758" spans="2:14" ht="15.75">
      <c r="B758" s="106">
        <v>725</v>
      </c>
      <c r="C758" s="117">
        <v>74</v>
      </c>
      <c r="D758" s="118"/>
      <c r="E758" s="25"/>
      <c r="F758" s="25"/>
      <c r="G758" s="112" t="s">
        <v>465</v>
      </c>
      <c r="H758" s="112">
        <v>166.67</v>
      </c>
      <c r="I758" s="112">
        <v>1</v>
      </c>
      <c r="J758" s="110">
        <v>4</v>
      </c>
      <c r="K758" s="112">
        <v>1</v>
      </c>
      <c r="L758" s="110">
        <f>H758*I758*J758*K758</f>
        <v>666.68</v>
      </c>
      <c r="M758" s="111"/>
      <c r="N758" s="111"/>
    </row>
    <row r="759" spans="2:14" ht="15.75">
      <c r="B759" s="106">
        <v>726</v>
      </c>
      <c r="C759" s="117">
        <v>74</v>
      </c>
      <c r="D759" s="118"/>
      <c r="E759" s="25"/>
      <c r="F759" s="25"/>
      <c r="G759" s="112" t="s">
        <v>447</v>
      </c>
      <c r="H759" s="112">
        <v>1.19</v>
      </c>
      <c r="I759" s="112">
        <v>10</v>
      </c>
      <c r="J759" s="110">
        <v>4</v>
      </c>
      <c r="K759" s="112">
        <v>5</v>
      </c>
      <c r="L759" s="110">
        <f t="shared" si="46"/>
        <v>237.99999999999997</v>
      </c>
      <c r="M759" s="111"/>
      <c r="N759" s="111"/>
    </row>
    <row r="760" spans="2:14" ht="15.75">
      <c r="B760" s="106">
        <v>727</v>
      </c>
      <c r="C760" s="117">
        <v>74</v>
      </c>
      <c r="D760" s="118"/>
      <c r="E760" s="25"/>
      <c r="F760" s="25"/>
      <c r="G760" s="112" t="s">
        <v>459</v>
      </c>
      <c r="H760" s="112">
        <v>16.670000000000002</v>
      </c>
      <c r="I760" s="112">
        <v>1</v>
      </c>
      <c r="J760" s="110">
        <v>4</v>
      </c>
      <c r="K760" s="112">
        <v>1</v>
      </c>
      <c r="L760" s="110">
        <f t="shared" si="46"/>
        <v>66.680000000000007</v>
      </c>
      <c r="M760" s="111"/>
      <c r="N760" s="111"/>
    </row>
    <row r="761" spans="2:14" ht="51">
      <c r="B761" s="126">
        <v>728</v>
      </c>
      <c r="C761" s="127">
        <v>75</v>
      </c>
      <c r="D761" s="135" t="s">
        <v>115</v>
      </c>
      <c r="E761" s="129" t="s">
        <v>786</v>
      </c>
      <c r="F761" s="136" t="s">
        <v>787</v>
      </c>
      <c r="G761" s="131" t="s">
        <v>612</v>
      </c>
      <c r="H761" s="137" t="s">
        <v>671</v>
      </c>
      <c r="I761" s="131"/>
      <c r="J761" s="131"/>
      <c r="K761" s="131"/>
      <c r="L761" s="139">
        <f>SUM(L762:L776)</f>
        <v>20725.560000000001</v>
      </c>
      <c r="M761" s="104">
        <v>20725.560000000001</v>
      </c>
      <c r="N761" s="105">
        <v>20725.560000000001</v>
      </c>
    </row>
    <row r="762" spans="2:14" ht="15.75">
      <c r="B762" s="106">
        <v>729</v>
      </c>
      <c r="C762" s="117">
        <v>75</v>
      </c>
      <c r="D762" s="108"/>
      <c r="E762" s="25"/>
      <c r="F762" s="25"/>
      <c r="G762" s="112" t="s">
        <v>453</v>
      </c>
      <c r="H762" s="112">
        <v>25</v>
      </c>
      <c r="I762" s="110">
        <v>2</v>
      </c>
      <c r="J762" s="110">
        <v>4</v>
      </c>
      <c r="K762" s="112">
        <v>5</v>
      </c>
      <c r="L762" s="110">
        <f>H762*I762*J762*K762</f>
        <v>1000</v>
      </c>
      <c r="M762" s="111"/>
      <c r="N762" s="111"/>
    </row>
    <row r="763" spans="2:14" ht="15.75">
      <c r="B763" s="106">
        <v>730</v>
      </c>
      <c r="C763" s="117">
        <v>75</v>
      </c>
      <c r="D763" s="108"/>
      <c r="E763" s="25"/>
      <c r="F763" s="25"/>
      <c r="G763" s="112" t="s">
        <v>462</v>
      </c>
      <c r="H763" s="112">
        <v>25</v>
      </c>
      <c r="I763" s="110">
        <v>1</v>
      </c>
      <c r="J763" s="110">
        <v>4</v>
      </c>
      <c r="K763" s="112">
        <v>5</v>
      </c>
      <c r="L763" s="110">
        <f t="shared" ref="L763:L776" si="47">H763*I763*J763*K763</f>
        <v>500</v>
      </c>
      <c r="M763" s="111"/>
      <c r="N763" s="111"/>
    </row>
    <row r="764" spans="2:14" ht="15.75">
      <c r="B764" s="106">
        <v>731</v>
      </c>
      <c r="C764" s="117">
        <v>75</v>
      </c>
      <c r="D764" s="108"/>
      <c r="E764" s="25"/>
      <c r="F764" s="25"/>
      <c r="G764" s="112" t="s">
        <v>568</v>
      </c>
      <c r="H764" s="112">
        <v>4</v>
      </c>
      <c r="I764" s="110">
        <v>25</v>
      </c>
      <c r="J764" s="110">
        <v>4</v>
      </c>
      <c r="K764" s="112">
        <v>5</v>
      </c>
      <c r="L764" s="110">
        <f t="shared" si="47"/>
        <v>2000</v>
      </c>
      <c r="M764" s="111"/>
      <c r="N764" s="111"/>
    </row>
    <row r="765" spans="2:14" ht="15.75">
      <c r="B765" s="106">
        <v>732</v>
      </c>
      <c r="C765" s="117">
        <v>75</v>
      </c>
      <c r="D765" s="108"/>
      <c r="E765" s="25"/>
      <c r="F765" s="25"/>
      <c r="G765" s="112" t="s">
        <v>569</v>
      </c>
      <c r="H765" s="112">
        <v>8</v>
      </c>
      <c r="I765" s="110">
        <v>25</v>
      </c>
      <c r="J765" s="110">
        <v>4</v>
      </c>
      <c r="K765" s="112">
        <v>5</v>
      </c>
      <c r="L765" s="110">
        <f t="shared" si="47"/>
        <v>4000</v>
      </c>
      <c r="M765" s="111"/>
      <c r="N765" s="111"/>
    </row>
    <row r="766" spans="2:14" ht="24">
      <c r="B766" s="106">
        <v>733</v>
      </c>
      <c r="C766" s="117">
        <v>75</v>
      </c>
      <c r="D766" s="108"/>
      <c r="E766" s="25"/>
      <c r="F766" s="25"/>
      <c r="G766" s="112" t="s">
        <v>570</v>
      </c>
      <c r="H766" s="112">
        <v>10</v>
      </c>
      <c r="I766" s="110">
        <v>20</v>
      </c>
      <c r="J766" s="110">
        <v>4</v>
      </c>
      <c r="K766" s="112">
        <v>5</v>
      </c>
      <c r="L766" s="110">
        <f t="shared" si="47"/>
        <v>4000</v>
      </c>
      <c r="M766" s="111"/>
      <c r="N766" s="111"/>
    </row>
    <row r="767" spans="2:14" ht="15.75">
      <c r="B767" s="106">
        <v>734</v>
      </c>
      <c r="C767" s="117">
        <v>75</v>
      </c>
      <c r="D767" s="108"/>
      <c r="E767" s="25"/>
      <c r="F767" s="25"/>
      <c r="G767" s="112" t="s">
        <v>432</v>
      </c>
      <c r="H767" s="112">
        <v>8</v>
      </c>
      <c r="I767" s="110">
        <v>1</v>
      </c>
      <c r="J767" s="110">
        <v>4</v>
      </c>
      <c r="K767" s="112">
        <v>5</v>
      </c>
      <c r="L767" s="110">
        <f t="shared" si="47"/>
        <v>160</v>
      </c>
      <c r="M767" s="111"/>
      <c r="N767" s="111"/>
    </row>
    <row r="768" spans="2:14" ht="15.75">
      <c r="B768" s="106">
        <v>735</v>
      </c>
      <c r="C768" s="117">
        <v>75</v>
      </c>
      <c r="D768" s="108"/>
      <c r="E768" s="25"/>
      <c r="F768" s="25"/>
      <c r="G768" s="112" t="s">
        <v>463</v>
      </c>
      <c r="H768" s="112">
        <v>119</v>
      </c>
      <c r="I768" s="110">
        <v>1</v>
      </c>
      <c r="J768" s="110">
        <v>4</v>
      </c>
      <c r="K768" s="112">
        <v>7</v>
      </c>
      <c r="L768" s="110">
        <f t="shared" si="47"/>
        <v>3332</v>
      </c>
      <c r="M768" s="111"/>
      <c r="N768" s="111"/>
    </row>
    <row r="769" spans="2:14" ht="15.75">
      <c r="B769" s="106">
        <v>736</v>
      </c>
      <c r="C769" s="117">
        <v>75</v>
      </c>
      <c r="D769" s="108"/>
      <c r="E769" s="25"/>
      <c r="F769" s="25"/>
      <c r="G769" s="112" t="s">
        <v>434</v>
      </c>
      <c r="H769" s="112">
        <v>10</v>
      </c>
      <c r="I769" s="110">
        <v>25</v>
      </c>
      <c r="J769" s="110">
        <v>4</v>
      </c>
      <c r="K769" s="112">
        <v>1</v>
      </c>
      <c r="L769" s="110">
        <f t="shared" si="47"/>
        <v>1000</v>
      </c>
      <c r="M769" s="111"/>
      <c r="N769" s="111"/>
    </row>
    <row r="770" spans="2:14" ht="15.75">
      <c r="B770" s="106">
        <v>737</v>
      </c>
      <c r="C770" s="117">
        <v>75</v>
      </c>
      <c r="D770" s="108"/>
      <c r="E770" s="25"/>
      <c r="F770" s="25"/>
      <c r="G770" s="112" t="s">
        <v>455</v>
      </c>
      <c r="H770" s="112">
        <v>260</v>
      </c>
      <c r="I770" s="110">
        <v>1</v>
      </c>
      <c r="J770" s="110">
        <v>4</v>
      </c>
      <c r="K770" s="112">
        <v>1</v>
      </c>
      <c r="L770" s="110">
        <f t="shared" si="47"/>
        <v>1040</v>
      </c>
      <c r="M770" s="111"/>
      <c r="N770" s="111"/>
    </row>
    <row r="771" spans="2:14" ht="15.75">
      <c r="B771" s="106">
        <v>738</v>
      </c>
      <c r="C771" s="117">
        <v>75</v>
      </c>
      <c r="D771" s="108"/>
      <c r="E771" s="25"/>
      <c r="F771" s="25"/>
      <c r="G771" s="112" t="s">
        <v>435</v>
      </c>
      <c r="H771" s="112">
        <v>70</v>
      </c>
      <c r="I771" s="110">
        <v>1</v>
      </c>
      <c r="J771" s="110">
        <v>4</v>
      </c>
      <c r="K771" s="112">
        <v>5</v>
      </c>
      <c r="L771" s="110">
        <f t="shared" si="47"/>
        <v>1400</v>
      </c>
      <c r="M771" s="111"/>
      <c r="N771" s="111"/>
    </row>
    <row r="772" spans="2:14" ht="15.75">
      <c r="B772" s="106">
        <v>739</v>
      </c>
      <c r="C772" s="117">
        <v>75</v>
      </c>
      <c r="D772" s="108"/>
      <c r="E772" s="25"/>
      <c r="F772" s="25"/>
      <c r="G772" s="112" t="s">
        <v>443</v>
      </c>
      <c r="H772" s="112">
        <v>8.33</v>
      </c>
      <c r="I772" s="110">
        <v>3</v>
      </c>
      <c r="J772" s="110">
        <v>4</v>
      </c>
      <c r="K772" s="112">
        <v>1</v>
      </c>
      <c r="L772" s="110">
        <f t="shared" si="47"/>
        <v>99.960000000000008</v>
      </c>
      <c r="M772" s="111"/>
      <c r="N772" s="111"/>
    </row>
    <row r="773" spans="2:14" ht="15.75">
      <c r="B773" s="106">
        <v>740</v>
      </c>
      <c r="C773" s="117">
        <v>75</v>
      </c>
      <c r="D773" s="108"/>
      <c r="E773" s="25"/>
      <c r="F773" s="25"/>
      <c r="G773" s="112" t="s">
        <v>464</v>
      </c>
      <c r="H773" s="112">
        <v>305.56</v>
      </c>
      <c r="I773" s="112">
        <v>1</v>
      </c>
      <c r="J773" s="110">
        <v>4</v>
      </c>
      <c r="K773" s="112">
        <v>1</v>
      </c>
      <c r="L773" s="110">
        <f t="shared" si="47"/>
        <v>1222.24</v>
      </c>
      <c r="M773" s="111"/>
      <c r="N773" s="111"/>
    </row>
    <row r="774" spans="2:14" ht="15.75">
      <c r="B774" s="106">
        <v>741</v>
      </c>
      <c r="C774" s="117">
        <v>75</v>
      </c>
      <c r="D774" s="108"/>
      <c r="E774" s="25"/>
      <c r="F774" s="25"/>
      <c r="G774" s="112" t="s">
        <v>465</v>
      </c>
      <c r="H774" s="112">
        <v>166.67</v>
      </c>
      <c r="I774" s="112">
        <v>1</v>
      </c>
      <c r="J774" s="110">
        <v>4</v>
      </c>
      <c r="K774" s="112">
        <v>1</v>
      </c>
      <c r="L774" s="110">
        <f t="shared" si="47"/>
        <v>666.68</v>
      </c>
      <c r="M774" s="111"/>
      <c r="N774" s="111"/>
    </row>
    <row r="775" spans="2:14" ht="15.75">
      <c r="B775" s="106">
        <v>742</v>
      </c>
      <c r="C775" s="117">
        <v>75</v>
      </c>
      <c r="D775" s="108"/>
      <c r="E775" s="25"/>
      <c r="F775" s="25"/>
      <c r="G775" s="112" t="s">
        <v>447</v>
      </c>
      <c r="H775" s="112">
        <v>1.19</v>
      </c>
      <c r="I775" s="112">
        <v>10</v>
      </c>
      <c r="J775" s="110">
        <v>4</v>
      </c>
      <c r="K775" s="112">
        <v>5</v>
      </c>
      <c r="L775" s="110">
        <f t="shared" si="47"/>
        <v>237.99999999999997</v>
      </c>
      <c r="M775" s="111"/>
      <c r="N775" s="111"/>
    </row>
    <row r="776" spans="2:14" ht="15.75">
      <c r="B776" s="106">
        <v>743</v>
      </c>
      <c r="C776" s="117">
        <v>75</v>
      </c>
      <c r="D776" s="108"/>
      <c r="E776" s="25"/>
      <c r="F776" s="25"/>
      <c r="G776" s="112" t="s">
        <v>459</v>
      </c>
      <c r="H776" s="112">
        <v>16.670000000000002</v>
      </c>
      <c r="I776" s="112">
        <v>1</v>
      </c>
      <c r="J776" s="110">
        <v>4</v>
      </c>
      <c r="K776" s="112">
        <v>1</v>
      </c>
      <c r="L776" s="110">
        <f t="shared" si="47"/>
        <v>66.680000000000007</v>
      </c>
      <c r="M776" s="111"/>
      <c r="N776" s="111"/>
    </row>
    <row r="777" spans="2:14" s="138" customFormat="1" ht="51">
      <c r="B777" s="126">
        <v>744</v>
      </c>
      <c r="C777" s="127">
        <v>76</v>
      </c>
      <c r="D777" s="135" t="s">
        <v>113</v>
      </c>
      <c r="E777" s="129" t="s">
        <v>788</v>
      </c>
      <c r="F777" s="136" t="s">
        <v>789</v>
      </c>
      <c r="G777" s="131" t="s">
        <v>616</v>
      </c>
      <c r="H777" s="137" t="s">
        <v>671</v>
      </c>
      <c r="I777" s="131"/>
      <c r="J777" s="131"/>
      <c r="K777" s="131"/>
      <c r="L777" s="139">
        <f>SUM(L778:L790)</f>
        <v>3788.65</v>
      </c>
      <c r="M777" s="133">
        <v>18943.23</v>
      </c>
      <c r="N777" s="134">
        <v>11365.95</v>
      </c>
    </row>
    <row r="778" spans="2:14" ht="15.75">
      <c r="B778" s="106">
        <v>745</v>
      </c>
      <c r="C778" s="117">
        <v>76</v>
      </c>
      <c r="D778" s="108"/>
      <c r="E778" s="25"/>
      <c r="F778" s="25"/>
      <c r="G778" s="112" t="s">
        <v>462</v>
      </c>
      <c r="H778" s="112">
        <v>25</v>
      </c>
      <c r="I778" s="110">
        <v>7</v>
      </c>
      <c r="J778" s="110">
        <v>4</v>
      </c>
      <c r="K778" s="110">
        <v>1</v>
      </c>
      <c r="L778" s="110">
        <f>H778*I778*J778*K778</f>
        <v>700</v>
      </c>
      <c r="M778" s="141"/>
      <c r="N778" s="111"/>
    </row>
    <row r="779" spans="2:14" ht="15.75">
      <c r="B779" s="106">
        <v>746</v>
      </c>
      <c r="C779" s="117">
        <v>76</v>
      </c>
      <c r="D779" s="108"/>
      <c r="E779" s="25"/>
      <c r="F779" s="25"/>
      <c r="G779" s="112" t="s">
        <v>432</v>
      </c>
      <c r="H779" s="112">
        <v>8</v>
      </c>
      <c r="I779" s="110">
        <v>7</v>
      </c>
      <c r="J779" s="110">
        <v>4</v>
      </c>
      <c r="K779" s="110">
        <v>1</v>
      </c>
      <c r="L779" s="110">
        <f t="shared" ref="L779:L790" si="48">H779*I779*J779*K779</f>
        <v>224</v>
      </c>
      <c r="M779" s="111"/>
      <c r="N779" s="111"/>
    </row>
    <row r="780" spans="2:14" ht="15.75">
      <c r="B780" s="106">
        <v>747</v>
      </c>
      <c r="C780" s="117">
        <v>76</v>
      </c>
      <c r="D780" s="108"/>
      <c r="E780" s="25"/>
      <c r="F780" s="25"/>
      <c r="G780" s="112" t="s">
        <v>472</v>
      </c>
      <c r="H780" s="112">
        <v>1.19</v>
      </c>
      <c r="I780" s="110">
        <v>210</v>
      </c>
      <c r="J780" s="110">
        <v>4</v>
      </c>
      <c r="K780" s="110">
        <v>1</v>
      </c>
      <c r="L780" s="110">
        <f t="shared" si="48"/>
        <v>999.59999999999991</v>
      </c>
      <c r="M780" s="111"/>
      <c r="N780" s="111"/>
    </row>
    <row r="781" spans="2:14" ht="15.75">
      <c r="B781" s="106">
        <v>748</v>
      </c>
      <c r="C781" s="117">
        <v>76</v>
      </c>
      <c r="D781" s="108"/>
      <c r="E781" s="25"/>
      <c r="F781" s="25"/>
      <c r="G781" s="114" t="s">
        <v>473</v>
      </c>
      <c r="H781" s="112">
        <v>0.28999999999999998</v>
      </c>
      <c r="I781" s="110">
        <v>7</v>
      </c>
      <c r="J781" s="110">
        <v>4</v>
      </c>
      <c r="K781" s="110">
        <v>1</v>
      </c>
      <c r="L781" s="110">
        <f t="shared" si="48"/>
        <v>8.1199999999999992</v>
      </c>
      <c r="M781" s="111"/>
      <c r="N781" s="111"/>
    </row>
    <row r="782" spans="2:14" ht="15.75">
      <c r="B782" s="106">
        <v>749</v>
      </c>
      <c r="C782" s="117">
        <v>76</v>
      </c>
      <c r="D782" s="108"/>
      <c r="E782" s="25"/>
      <c r="F782" s="25"/>
      <c r="G782" s="112" t="s">
        <v>443</v>
      </c>
      <c r="H782" s="112">
        <v>8.33</v>
      </c>
      <c r="I782" s="110">
        <v>7</v>
      </c>
      <c r="J782" s="110">
        <v>4</v>
      </c>
      <c r="K782" s="110">
        <v>1</v>
      </c>
      <c r="L782" s="110">
        <f t="shared" si="48"/>
        <v>233.24</v>
      </c>
      <c r="M782" s="111"/>
      <c r="N782" s="111"/>
    </row>
    <row r="783" spans="2:14" ht="15.75">
      <c r="B783" s="106">
        <v>750</v>
      </c>
      <c r="C783" s="117">
        <v>76</v>
      </c>
      <c r="D783" s="108"/>
      <c r="E783" s="25"/>
      <c r="F783" s="25"/>
      <c r="G783" s="114" t="s">
        <v>474</v>
      </c>
      <c r="H783" s="112">
        <v>5.87</v>
      </c>
      <c r="I783" s="110">
        <v>7</v>
      </c>
      <c r="J783" s="110">
        <v>4</v>
      </c>
      <c r="K783" s="110">
        <v>1</v>
      </c>
      <c r="L783" s="110">
        <f t="shared" si="48"/>
        <v>164.36</v>
      </c>
      <c r="M783" s="111"/>
      <c r="N783" s="111"/>
    </row>
    <row r="784" spans="2:14" ht="15.75">
      <c r="B784" s="106">
        <v>751</v>
      </c>
      <c r="C784" s="117">
        <v>76</v>
      </c>
      <c r="D784" s="108"/>
      <c r="E784" s="25"/>
      <c r="F784" s="25"/>
      <c r="G784" s="114" t="s">
        <v>437</v>
      </c>
      <c r="H784" s="112">
        <v>23.48</v>
      </c>
      <c r="I784" s="110">
        <v>7</v>
      </c>
      <c r="J784" s="110">
        <v>1</v>
      </c>
      <c r="K784" s="110">
        <v>1</v>
      </c>
      <c r="L784" s="110">
        <f t="shared" si="48"/>
        <v>164.36</v>
      </c>
      <c r="M784" s="111"/>
      <c r="N784" s="111"/>
    </row>
    <row r="785" spans="2:16" ht="15.75">
      <c r="B785" s="106">
        <v>752</v>
      </c>
      <c r="C785" s="117">
        <v>76</v>
      </c>
      <c r="D785" s="108"/>
      <c r="E785" s="25"/>
      <c r="F785" s="25"/>
      <c r="G785" s="114" t="s">
        <v>475</v>
      </c>
      <c r="H785" s="112">
        <v>0.59</v>
      </c>
      <c r="I785" s="110">
        <v>7</v>
      </c>
      <c r="J785" s="110">
        <v>4</v>
      </c>
      <c r="K785" s="110">
        <v>1</v>
      </c>
      <c r="L785" s="110">
        <f t="shared" si="48"/>
        <v>16.52</v>
      </c>
      <c r="M785" s="111"/>
      <c r="N785" s="111"/>
    </row>
    <row r="786" spans="2:16" ht="15.75">
      <c r="B786" s="106">
        <v>753</v>
      </c>
      <c r="C786" s="117">
        <v>76</v>
      </c>
      <c r="D786" s="108"/>
      <c r="E786" s="25"/>
      <c r="F786" s="25"/>
      <c r="G786" s="114" t="s">
        <v>476</v>
      </c>
      <c r="H786" s="112">
        <v>0.88</v>
      </c>
      <c r="I786" s="110">
        <v>7</v>
      </c>
      <c r="J786" s="110">
        <v>4</v>
      </c>
      <c r="K786" s="110">
        <v>1</v>
      </c>
      <c r="L786" s="110">
        <f t="shared" si="48"/>
        <v>24.64</v>
      </c>
      <c r="M786" s="111"/>
      <c r="N786" s="111"/>
    </row>
    <row r="787" spans="2:16" ht="15.75">
      <c r="B787" s="106">
        <v>754</v>
      </c>
      <c r="C787" s="117">
        <v>76</v>
      </c>
      <c r="D787" s="108"/>
      <c r="E787" s="25"/>
      <c r="F787" s="25"/>
      <c r="G787" s="114" t="s">
        <v>477</v>
      </c>
      <c r="H787" s="112">
        <f>166.67+0.902499999999918</f>
        <v>167.57249999999991</v>
      </c>
      <c r="I787" s="110">
        <v>2</v>
      </c>
      <c r="J787" s="110">
        <v>2</v>
      </c>
      <c r="K787" s="110">
        <v>1</v>
      </c>
      <c r="L787" s="110">
        <f t="shared" si="48"/>
        <v>670.28999999999962</v>
      </c>
      <c r="M787" s="111"/>
      <c r="N787" s="111"/>
    </row>
    <row r="788" spans="2:16" ht="15.75">
      <c r="B788" s="106">
        <v>755</v>
      </c>
      <c r="C788" s="117">
        <v>76</v>
      </c>
      <c r="D788" s="108"/>
      <c r="E788" s="25"/>
      <c r="F788" s="25"/>
      <c r="G788" s="112" t="s">
        <v>444</v>
      </c>
      <c r="H788" s="112">
        <v>1.1100000000000001</v>
      </c>
      <c r="I788" s="110">
        <v>21</v>
      </c>
      <c r="J788" s="110">
        <v>4</v>
      </c>
      <c r="K788" s="110">
        <v>1</v>
      </c>
      <c r="L788" s="110">
        <f t="shared" si="48"/>
        <v>93.240000000000009</v>
      </c>
      <c r="M788" s="111"/>
      <c r="N788" s="111"/>
    </row>
    <row r="789" spans="2:16" ht="15.75">
      <c r="B789" s="106">
        <v>756</v>
      </c>
      <c r="C789" s="117">
        <v>76</v>
      </c>
      <c r="D789" s="108"/>
      <c r="E789" s="25"/>
      <c r="F789" s="25"/>
      <c r="G789" s="112" t="s">
        <v>478</v>
      </c>
      <c r="H789" s="112">
        <v>0.56000000000000005</v>
      </c>
      <c r="I789" s="110">
        <v>42</v>
      </c>
      <c r="J789" s="110">
        <v>1</v>
      </c>
      <c r="K789" s="110">
        <v>1</v>
      </c>
      <c r="L789" s="110">
        <f t="shared" si="48"/>
        <v>23.520000000000003</v>
      </c>
      <c r="M789" s="111"/>
      <c r="N789" s="111"/>
    </row>
    <row r="790" spans="2:16" ht="15.75">
      <c r="B790" s="106">
        <v>757</v>
      </c>
      <c r="C790" s="117">
        <v>76</v>
      </c>
      <c r="D790" s="108"/>
      <c r="E790" s="25"/>
      <c r="F790" s="25"/>
      <c r="G790" s="112" t="s">
        <v>459</v>
      </c>
      <c r="H790" s="112">
        <v>16.670000000000002</v>
      </c>
      <c r="I790" s="110">
        <v>7</v>
      </c>
      <c r="J790" s="110">
        <v>4</v>
      </c>
      <c r="K790" s="110">
        <v>1</v>
      </c>
      <c r="L790" s="110">
        <f t="shared" si="48"/>
        <v>466.76000000000005</v>
      </c>
      <c r="M790" s="111"/>
      <c r="N790" s="111"/>
    </row>
    <row r="791" spans="2:16" s="138" customFormat="1" ht="38.25">
      <c r="B791" s="126">
        <v>758</v>
      </c>
      <c r="C791" s="127">
        <v>77</v>
      </c>
      <c r="D791" s="135" t="s">
        <v>111</v>
      </c>
      <c r="E791" s="129" t="s">
        <v>110</v>
      </c>
      <c r="F791" s="136" t="s">
        <v>790</v>
      </c>
      <c r="G791" s="131" t="s">
        <v>617</v>
      </c>
      <c r="H791" s="137" t="s">
        <v>671</v>
      </c>
      <c r="I791" s="131"/>
      <c r="J791" s="131"/>
      <c r="K791" s="131"/>
      <c r="L791" s="139">
        <f>SUM(L792)</f>
        <v>3070.2</v>
      </c>
      <c r="M791" s="133">
        <v>15351</v>
      </c>
      <c r="N791" s="134">
        <v>9210.5999999999985</v>
      </c>
    </row>
    <row r="792" spans="2:16" ht="15.75">
      <c r="B792" s="106">
        <v>759</v>
      </c>
      <c r="C792" s="117">
        <v>77</v>
      </c>
      <c r="D792" s="108"/>
      <c r="E792" s="25"/>
      <c r="F792" s="25"/>
      <c r="G792" s="112" t="s">
        <v>472</v>
      </c>
      <c r="H792" s="112">
        <v>1.19</v>
      </c>
      <c r="I792" s="112">
        <v>215</v>
      </c>
      <c r="J792" s="112">
        <v>1</v>
      </c>
      <c r="K792" s="112">
        <v>12</v>
      </c>
      <c r="L792" s="110">
        <f>H792*I792*J792*K792</f>
        <v>3070.2</v>
      </c>
      <c r="M792" s="111"/>
      <c r="N792" s="111"/>
    </row>
    <row r="793" spans="2:16" s="138" customFormat="1" ht="15.75">
      <c r="B793" s="126">
        <v>760</v>
      </c>
      <c r="C793" s="127">
        <v>78</v>
      </c>
      <c r="D793" s="135" t="s">
        <v>109</v>
      </c>
      <c r="E793" s="129" t="s">
        <v>791</v>
      </c>
      <c r="F793" s="136"/>
      <c r="G793" s="131" t="s">
        <v>108</v>
      </c>
      <c r="H793" s="137" t="s">
        <v>671</v>
      </c>
      <c r="I793" s="131"/>
      <c r="J793" s="131"/>
      <c r="K793" s="131"/>
      <c r="L793" s="139">
        <f>SUM(L794)</f>
        <v>5000</v>
      </c>
      <c r="M793" s="133">
        <v>5000</v>
      </c>
      <c r="N793" s="134">
        <v>5000</v>
      </c>
    </row>
    <row r="794" spans="2:16" ht="15.75">
      <c r="B794" s="106">
        <v>761</v>
      </c>
      <c r="C794" s="117">
        <v>78</v>
      </c>
      <c r="D794" s="108"/>
      <c r="E794" s="25"/>
      <c r="F794" s="25"/>
      <c r="G794" s="112" t="s">
        <v>654</v>
      </c>
      <c r="H794" s="112">
        <v>5000</v>
      </c>
      <c r="I794" s="112">
        <v>1</v>
      </c>
      <c r="J794" s="112">
        <v>1</v>
      </c>
      <c r="K794" s="112">
        <v>1</v>
      </c>
      <c r="L794" s="110">
        <f>H794*I794*J794*K794</f>
        <v>5000</v>
      </c>
      <c r="M794" s="111"/>
      <c r="N794" s="111"/>
      <c r="O794" s="306" t="s">
        <v>1000</v>
      </c>
      <c r="P794" s="306"/>
    </row>
    <row r="795" spans="2:16" s="138" customFormat="1" ht="51">
      <c r="B795" s="126">
        <v>762</v>
      </c>
      <c r="C795" s="127">
        <v>79</v>
      </c>
      <c r="D795" s="135" t="s">
        <v>106</v>
      </c>
      <c r="E795" s="129" t="s">
        <v>792</v>
      </c>
      <c r="F795" s="130" t="s">
        <v>793</v>
      </c>
      <c r="G795" s="131" t="s">
        <v>655</v>
      </c>
      <c r="H795" s="137" t="s">
        <v>671</v>
      </c>
      <c r="I795" s="131"/>
      <c r="J795" s="131"/>
      <c r="K795" s="131"/>
      <c r="L795" s="139">
        <f>SUM(L796:L833)</f>
        <v>20571.22</v>
      </c>
      <c r="M795" s="166">
        <v>20571.22</v>
      </c>
      <c r="N795" s="134">
        <v>20571.22</v>
      </c>
    </row>
    <row r="796" spans="2:16" ht="15.75">
      <c r="B796" s="106">
        <v>763</v>
      </c>
      <c r="C796" s="117">
        <v>79</v>
      </c>
      <c r="D796" s="108"/>
      <c r="E796" s="25"/>
      <c r="F796" s="25"/>
      <c r="G796" s="112" t="s">
        <v>453</v>
      </c>
      <c r="H796" s="112">
        <v>25</v>
      </c>
      <c r="I796" s="110">
        <v>2</v>
      </c>
      <c r="J796" s="110">
        <v>1</v>
      </c>
      <c r="K796" s="112">
        <v>10</v>
      </c>
      <c r="L796" s="110">
        <f>H796*I796*J796*K796</f>
        <v>500</v>
      </c>
      <c r="M796" s="111"/>
      <c r="N796" s="111"/>
    </row>
    <row r="797" spans="2:16" ht="15.75">
      <c r="B797" s="106">
        <v>764</v>
      </c>
      <c r="C797" s="117">
        <v>79</v>
      </c>
      <c r="D797" s="108"/>
      <c r="E797" s="25"/>
      <c r="F797" s="25"/>
      <c r="G797" s="112" t="s">
        <v>462</v>
      </c>
      <c r="H797" s="112">
        <v>25</v>
      </c>
      <c r="I797" s="110">
        <v>1</v>
      </c>
      <c r="J797" s="110">
        <v>1</v>
      </c>
      <c r="K797" s="112">
        <v>10</v>
      </c>
      <c r="L797" s="110">
        <f t="shared" ref="L797:L833" si="49">H797*I797*J797*K797</f>
        <v>250</v>
      </c>
      <c r="M797" s="111"/>
      <c r="N797" s="111"/>
    </row>
    <row r="798" spans="2:16" ht="15.75">
      <c r="B798" s="106">
        <v>765</v>
      </c>
      <c r="C798" s="117">
        <v>79</v>
      </c>
      <c r="D798" s="108"/>
      <c r="E798" s="25"/>
      <c r="F798" s="25"/>
      <c r="G798" s="112" t="s">
        <v>568</v>
      </c>
      <c r="H798" s="112">
        <v>4</v>
      </c>
      <c r="I798" s="110">
        <v>28</v>
      </c>
      <c r="J798" s="110">
        <v>1</v>
      </c>
      <c r="K798" s="112">
        <v>10</v>
      </c>
      <c r="L798" s="110">
        <f t="shared" si="49"/>
        <v>1120</v>
      </c>
      <c r="M798" s="111"/>
      <c r="N798" s="111"/>
    </row>
    <row r="799" spans="2:16" ht="15.75">
      <c r="B799" s="106">
        <v>766</v>
      </c>
      <c r="C799" s="117">
        <v>79</v>
      </c>
      <c r="D799" s="108"/>
      <c r="E799" s="25"/>
      <c r="F799" s="25"/>
      <c r="G799" s="112" t="s">
        <v>569</v>
      </c>
      <c r="H799" s="112">
        <v>8</v>
      </c>
      <c r="I799" s="110">
        <v>28</v>
      </c>
      <c r="J799" s="110">
        <v>1</v>
      </c>
      <c r="K799" s="112">
        <v>10</v>
      </c>
      <c r="L799" s="110">
        <f t="shared" si="49"/>
        <v>2240</v>
      </c>
      <c r="M799" s="111"/>
      <c r="N799" s="111"/>
    </row>
    <row r="800" spans="2:16" ht="24">
      <c r="B800" s="106">
        <v>767</v>
      </c>
      <c r="C800" s="117">
        <v>79</v>
      </c>
      <c r="D800" s="108"/>
      <c r="E800" s="25"/>
      <c r="F800" s="25"/>
      <c r="G800" s="112" t="s">
        <v>570</v>
      </c>
      <c r="H800" s="112">
        <v>10</v>
      </c>
      <c r="I800" s="110">
        <v>25</v>
      </c>
      <c r="J800" s="110">
        <v>1</v>
      </c>
      <c r="K800" s="112">
        <v>10</v>
      </c>
      <c r="L800" s="110">
        <f t="shared" si="49"/>
        <v>2500</v>
      </c>
      <c r="M800" s="111"/>
      <c r="N800" s="111"/>
    </row>
    <row r="801" spans="2:14" ht="15.75">
      <c r="B801" s="106">
        <v>768</v>
      </c>
      <c r="C801" s="117">
        <v>79</v>
      </c>
      <c r="D801" s="108"/>
      <c r="E801" s="25"/>
      <c r="F801" s="25"/>
      <c r="G801" s="112" t="s">
        <v>432</v>
      </c>
      <c r="H801" s="167">
        <f>8-(0.139999999999418/10)</f>
        <v>7.9860000000000584</v>
      </c>
      <c r="I801" s="110">
        <v>1</v>
      </c>
      <c r="J801" s="110">
        <v>1</v>
      </c>
      <c r="K801" s="112">
        <v>10</v>
      </c>
      <c r="L801" s="110">
        <f t="shared" si="49"/>
        <v>79.860000000000582</v>
      </c>
      <c r="M801" s="111"/>
      <c r="N801" s="111"/>
    </row>
    <row r="802" spans="2:14" ht="15.75">
      <c r="B802" s="106">
        <v>769</v>
      </c>
      <c r="C802" s="117">
        <v>79</v>
      </c>
      <c r="D802" s="108"/>
      <c r="E802" s="25"/>
      <c r="F802" s="25"/>
      <c r="G802" s="112" t="s">
        <v>463</v>
      </c>
      <c r="H802" s="112">
        <v>119</v>
      </c>
      <c r="I802" s="110">
        <v>1</v>
      </c>
      <c r="J802" s="110">
        <v>1</v>
      </c>
      <c r="K802" s="112">
        <v>12</v>
      </c>
      <c r="L802" s="110">
        <f t="shared" si="49"/>
        <v>1428</v>
      </c>
      <c r="M802" s="111"/>
      <c r="N802" s="111"/>
    </row>
    <row r="803" spans="2:14" ht="15.75">
      <c r="B803" s="106">
        <v>770</v>
      </c>
      <c r="C803" s="117">
        <v>79</v>
      </c>
      <c r="D803" s="108"/>
      <c r="E803" s="25"/>
      <c r="F803" s="25"/>
      <c r="G803" s="112" t="s">
        <v>434</v>
      </c>
      <c r="H803" s="112">
        <v>10</v>
      </c>
      <c r="I803" s="110">
        <v>25</v>
      </c>
      <c r="J803" s="110">
        <v>1</v>
      </c>
      <c r="K803" s="112">
        <v>1</v>
      </c>
      <c r="L803" s="110">
        <f t="shared" si="49"/>
        <v>250</v>
      </c>
      <c r="M803" s="111"/>
      <c r="N803" s="111"/>
    </row>
    <row r="804" spans="2:14" ht="15.75">
      <c r="B804" s="106">
        <v>771</v>
      </c>
      <c r="C804" s="117">
        <v>79</v>
      </c>
      <c r="D804" s="108"/>
      <c r="E804" s="25"/>
      <c r="F804" s="25"/>
      <c r="G804" s="112" t="s">
        <v>455</v>
      </c>
      <c r="H804" s="112">
        <v>260</v>
      </c>
      <c r="I804" s="110">
        <v>1</v>
      </c>
      <c r="J804" s="110">
        <v>1</v>
      </c>
      <c r="K804" s="112">
        <v>1</v>
      </c>
      <c r="L804" s="110">
        <f t="shared" si="49"/>
        <v>260</v>
      </c>
      <c r="M804" s="111"/>
      <c r="N804" s="111"/>
    </row>
    <row r="805" spans="2:14" ht="15.75">
      <c r="B805" s="106">
        <v>772</v>
      </c>
      <c r="C805" s="117">
        <v>79</v>
      </c>
      <c r="D805" s="108"/>
      <c r="E805" s="25"/>
      <c r="F805" s="25"/>
      <c r="G805" s="112" t="s">
        <v>435</v>
      </c>
      <c r="H805" s="112">
        <v>70</v>
      </c>
      <c r="I805" s="110">
        <v>1</v>
      </c>
      <c r="J805" s="110">
        <v>1</v>
      </c>
      <c r="K805" s="112">
        <v>10</v>
      </c>
      <c r="L805" s="110">
        <f t="shared" si="49"/>
        <v>700</v>
      </c>
      <c r="M805" s="111"/>
      <c r="N805" s="111"/>
    </row>
    <row r="806" spans="2:14" ht="15.75">
      <c r="B806" s="106">
        <v>773</v>
      </c>
      <c r="C806" s="117">
        <v>79</v>
      </c>
      <c r="D806" s="108"/>
      <c r="E806" s="25"/>
      <c r="F806" s="25"/>
      <c r="G806" s="112" t="s">
        <v>443</v>
      </c>
      <c r="H806" s="112">
        <v>8.33</v>
      </c>
      <c r="I806" s="110">
        <v>5</v>
      </c>
      <c r="J806" s="110">
        <v>1</v>
      </c>
      <c r="K806" s="112">
        <v>1</v>
      </c>
      <c r="L806" s="110">
        <f t="shared" si="49"/>
        <v>41.65</v>
      </c>
      <c r="M806" s="111"/>
      <c r="N806" s="111"/>
    </row>
    <row r="807" spans="2:14" ht="15.75">
      <c r="B807" s="106">
        <v>774</v>
      </c>
      <c r="C807" s="117">
        <v>79</v>
      </c>
      <c r="D807" s="108"/>
      <c r="E807" s="25"/>
      <c r="F807" s="25"/>
      <c r="G807" s="112" t="s">
        <v>464</v>
      </c>
      <c r="H807" s="112">
        <v>305.56</v>
      </c>
      <c r="I807" s="112">
        <v>1</v>
      </c>
      <c r="J807" s="110">
        <v>1</v>
      </c>
      <c r="K807" s="112">
        <v>1</v>
      </c>
      <c r="L807" s="110">
        <f t="shared" si="49"/>
        <v>305.56</v>
      </c>
      <c r="M807" s="111"/>
      <c r="N807" s="111"/>
    </row>
    <row r="808" spans="2:14" ht="15.75">
      <c r="B808" s="106">
        <v>775</v>
      </c>
      <c r="C808" s="117">
        <v>79</v>
      </c>
      <c r="D808" s="108"/>
      <c r="E808" s="25"/>
      <c r="F808" s="25"/>
      <c r="G808" s="112" t="s">
        <v>465</v>
      </c>
      <c r="H808" s="112">
        <v>166.67</v>
      </c>
      <c r="I808" s="112">
        <v>1</v>
      </c>
      <c r="J808" s="110">
        <v>1</v>
      </c>
      <c r="K808" s="112">
        <v>1</v>
      </c>
      <c r="L808" s="110">
        <f t="shared" si="49"/>
        <v>166.67</v>
      </c>
      <c r="M808" s="111"/>
      <c r="N808" s="111"/>
    </row>
    <row r="809" spans="2:14" ht="15.75">
      <c r="B809" s="106">
        <v>776</v>
      </c>
      <c r="C809" s="117">
        <v>79</v>
      </c>
      <c r="D809" s="108"/>
      <c r="E809" s="25"/>
      <c r="F809" s="25"/>
      <c r="G809" s="112" t="s">
        <v>447</v>
      </c>
      <c r="H809" s="112">
        <v>1.19</v>
      </c>
      <c r="I809" s="112">
        <v>10</v>
      </c>
      <c r="J809" s="110">
        <v>1</v>
      </c>
      <c r="K809" s="112">
        <v>10</v>
      </c>
      <c r="L809" s="110">
        <f t="shared" si="49"/>
        <v>118.99999999999999</v>
      </c>
      <c r="M809" s="111"/>
      <c r="N809" s="111"/>
    </row>
    <row r="810" spans="2:14" ht="15.75">
      <c r="B810" s="106">
        <v>777</v>
      </c>
      <c r="C810" s="117">
        <v>79</v>
      </c>
      <c r="D810" s="108"/>
      <c r="E810" s="25"/>
      <c r="F810" s="25"/>
      <c r="G810" s="112" t="s">
        <v>459</v>
      </c>
      <c r="H810" s="112">
        <v>16.670000000000002</v>
      </c>
      <c r="I810" s="112">
        <v>2</v>
      </c>
      <c r="J810" s="110">
        <v>1</v>
      </c>
      <c r="K810" s="112">
        <v>1</v>
      </c>
      <c r="L810" s="110">
        <f t="shared" si="49"/>
        <v>33.340000000000003</v>
      </c>
      <c r="M810" s="111"/>
      <c r="N810" s="111"/>
    </row>
    <row r="811" spans="2:14" ht="24">
      <c r="B811" s="106">
        <v>778</v>
      </c>
      <c r="C811" s="117">
        <v>79</v>
      </c>
      <c r="D811" s="108"/>
      <c r="E811" s="25"/>
      <c r="F811" s="25"/>
      <c r="G811" s="110" t="s">
        <v>656</v>
      </c>
      <c r="H811" s="112" t="s">
        <v>671</v>
      </c>
      <c r="I811" s="110"/>
      <c r="J811" s="110"/>
      <c r="K811" s="110"/>
      <c r="L811" s="110"/>
      <c r="M811" s="111"/>
      <c r="N811" s="111"/>
    </row>
    <row r="812" spans="2:14" ht="15.75">
      <c r="B812" s="106">
        <v>779</v>
      </c>
      <c r="C812" s="117">
        <v>79</v>
      </c>
      <c r="D812" s="108"/>
      <c r="E812" s="25"/>
      <c r="F812" s="25"/>
      <c r="G812" s="112" t="s">
        <v>443</v>
      </c>
      <c r="H812" s="112">
        <v>8.33</v>
      </c>
      <c r="I812" s="112">
        <v>4</v>
      </c>
      <c r="J812" s="110">
        <v>1</v>
      </c>
      <c r="K812" s="110">
        <v>1</v>
      </c>
      <c r="L812" s="110">
        <f t="shared" si="49"/>
        <v>33.32</v>
      </c>
      <c r="M812" s="111"/>
      <c r="N812" s="111"/>
    </row>
    <row r="813" spans="2:14" ht="15.75">
      <c r="B813" s="106">
        <v>780</v>
      </c>
      <c r="C813" s="117">
        <v>79</v>
      </c>
      <c r="D813" s="108"/>
      <c r="E813" s="25"/>
      <c r="F813" s="25"/>
      <c r="G813" s="112" t="s">
        <v>444</v>
      </c>
      <c r="H813" s="112">
        <v>1.1100000000000001</v>
      </c>
      <c r="I813" s="110">
        <v>70</v>
      </c>
      <c r="J813" s="110">
        <v>1</v>
      </c>
      <c r="K813" s="110">
        <v>1</v>
      </c>
      <c r="L813" s="110">
        <f t="shared" si="49"/>
        <v>77.7</v>
      </c>
      <c r="M813" s="111"/>
      <c r="N813" s="111"/>
    </row>
    <row r="814" spans="2:14" ht="15.75">
      <c r="B814" s="106">
        <v>781</v>
      </c>
      <c r="C814" s="117">
        <v>79</v>
      </c>
      <c r="D814" s="108"/>
      <c r="E814" s="25"/>
      <c r="F814" s="25"/>
      <c r="G814" s="112" t="s">
        <v>456</v>
      </c>
      <c r="H814" s="112">
        <v>0.56000000000000005</v>
      </c>
      <c r="I814" s="110">
        <v>110</v>
      </c>
      <c r="J814" s="110">
        <v>1</v>
      </c>
      <c r="K814" s="110">
        <v>1</v>
      </c>
      <c r="L814" s="110">
        <f t="shared" si="49"/>
        <v>61.600000000000009</v>
      </c>
      <c r="M814" s="111"/>
      <c r="N814" s="111"/>
    </row>
    <row r="815" spans="2:14" ht="15.75">
      <c r="B815" s="106">
        <v>782</v>
      </c>
      <c r="C815" s="117">
        <v>79</v>
      </c>
      <c r="D815" s="108"/>
      <c r="E815" s="25"/>
      <c r="F815" s="25"/>
      <c r="G815" s="112" t="s">
        <v>458</v>
      </c>
      <c r="H815" s="112">
        <v>305.56</v>
      </c>
      <c r="I815" s="110">
        <v>1</v>
      </c>
      <c r="J815" s="110">
        <v>1</v>
      </c>
      <c r="K815" s="110">
        <v>1</v>
      </c>
      <c r="L815" s="110">
        <f t="shared" si="49"/>
        <v>305.56</v>
      </c>
      <c r="M815" s="111"/>
      <c r="N815" s="111"/>
    </row>
    <row r="816" spans="2:14" ht="15.75">
      <c r="B816" s="106">
        <v>783</v>
      </c>
      <c r="C816" s="117">
        <v>79</v>
      </c>
      <c r="D816" s="108"/>
      <c r="E816" s="25"/>
      <c r="F816" s="25"/>
      <c r="G816" s="110" t="s">
        <v>447</v>
      </c>
      <c r="H816" s="112">
        <v>1.19</v>
      </c>
      <c r="I816" s="110">
        <v>10</v>
      </c>
      <c r="J816" s="110">
        <v>1</v>
      </c>
      <c r="K816" s="110">
        <v>6</v>
      </c>
      <c r="L816" s="110">
        <f t="shared" si="49"/>
        <v>71.399999999999991</v>
      </c>
      <c r="M816" s="111"/>
      <c r="N816" s="111"/>
    </row>
    <row r="817" spans="2:14" ht="15.75">
      <c r="B817" s="106">
        <v>784</v>
      </c>
      <c r="C817" s="117">
        <v>79</v>
      </c>
      <c r="D817" s="108"/>
      <c r="E817" s="25"/>
      <c r="F817" s="25"/>
      <c r="G817" s="110" t="s">
        <v>459</v>
      </c>
      <c r="H817" s="112">
        <v>16.670000000000002</v>
      </c>
      <c r="I817" s="110">
        <v>2</v>
      </c>
      <c r="J817" s="110">
        <v>1</v>
      </c>
      <c r="K817" s="110">
        <v>1</v>
      </c>
      <c r="L817" s="110">
        <f t="shared" si="49"/>
        <v>33.340000000000003</v>
      </c>
      <c r="M817" s="111"/>
      <c r="N817" s="111"/>
    </row>
    <row r="818" spans="2:14" ht="33.75">
      <c r="B818" s="106">
        <v>785</v>
      </c>
      <c r="C818" s="107">
        <v>79</v>
      </c>
      <c r="D818" s="108"/>
      <c r="E818" s="25"/>
      <c r="F818" s="25"/>
      <c r="G818" s="21" t="s">
        <v>657</v>
      </c>
      <c r="H818" s="112" t="s">
        <v>671</v>
      </c>
      <c r="I818" s="110"/>
      <c r="J818" s="110"/>
      <c r="K818" s="110"/>
      <c r="L818" s="110"/>
      <c r="M818" s="111"/>
      <c r="N818" s="111"/>
    </row>
    <row r="819" spans="2:14" ht="15.75">
      <c r="B819" s="106">
        <v>786</v>
      </c>
      <c r="C819" s="117">
        <v>79</v>
      </c>
      <c r="D819" s="108"/>
      <c r="E819" s="25"/>
      <c r="F819" s="25"/>
      <c r="G819" s="112" t="s">
        <v>453</v>
      </c>
      <c r="H819" s="112">
        <v>25</v>
      </c>
      <c r="I819" s="110">
        <v>2</v>
      </c>
      <c r="J819" s="110">
        <v>1</v>
      </c>
      <c r="K819" s="112">
        <v>10</v>
      </c>
      <c r="L819" s="110">
        <f t="shared" si="49"/>
        <v>500</v>
      </c>
      <c r="M819" s="111"/>
      <c r="N819" s="111"/>
    </row>
    <row r="820" spans="2:14" ht="15.75">
      <c r="B820" s="106">
        <v>787</v>
      </c>
      <c r="C820" s="117">
        <v>79</v>
      </c>
      <c r="D820" s="108"/>
      <c r="E820" s="25"/>
      <c r="F820" s="25"/>
      <c r="G820" s="112" t="s">
        <v>462</v>
      </c>
      <c r="H820" s="112">
        <v>25</v>
      </c>
      <c r="I820" s="110">
        <v>1</v>
      </c>
      <c r="J820" s="110">
        <v>1</v>
      </c>
      <c r="K820" s="112">
        <v>10</v>
      </c>
      <c r="L820" s="110">
        <f t="shared" si="49"/>
        <v>250</v>
      </c>
      <c r="M820" s="111"/>
      <c r="N820" s="111"/>
    </row>
    <row r="821" spans="2:14" ht="15.75">
      <c r="B821" s="106">
        <v>788</v>
      </c>
      <c r="C821" s="117">
        <v>79</v>
      </c>
      <c r="D821" s="108"/>
      <c r="E821" s="25"/>
      <c r="F821" s="25"/>
      <c r="G821" s="112" t="s">
        <v>568</v>
      </c>
      <c r="H821" s="112">
        <v>4</v>
      </c>
      <c r="I821" s="110">
        <v>28</v>
      </c>
      <c r="J821" s="110">
        <v>1</v>
      </c>
      <c r="K821" s="112">
        <v>10</v>
      </c>
      <c r="L821" s="110">
        <f t="shared" si="49"/>
        <v>1120</v>
      </c>
      <c r="M821" s="111"/>
      <c r="N821" s="111"/>
    </row>
    <row r="822" spans="2:14" ht="15.75">
      <c r="B822" s="106">
        <v>789</v>
      </c>
      <c r="C822" s="117">
        <v>79</v>
      </c>
      <c r="D822" s="108"/>
      <c r="E822" s="25"/>
      <c r="F822" s="25"/>
      <c r="G822" s="112" t="s">
        <v>569</v>
      </c>
      <c r="H822" s="112">
        <v>8</v>
      </c>
      <c r="I822" s="110">
        <v>28</v>
      </c>
      <c r="J822" s="110">
        <v>1</v>
      </c>
      <c r="K822" s="112">
        <v>10</v>
      </c>
      <c r="L822" s="110">
        <f t="shared" si="49"/>
        <v>2240</v>
      </c>
      <c r="M822" s="111"/>
      <c r="N822" s="111"/>
    </row>
    <row r="823" spans="2:14" ht="24">
      <c r="B823" s="106">
        <v>790</v>
      </c>
      <c r="C823" s="117">
        <v>79</v>
      </c>
      <c r="D823" s="108"/>
      <c r="E823" s="25"/>
      <c r="F823" s="25"/>
      <c r="G823" s="112" t="s">
        <v>570</v>
      </c>
      <c r="H823" s="112">
        <v>10</v>
      </c>
      <c r="I823" s="110">
        <v>25</v>
      </c>
      <c r="J823" s="110">
        <v>1</v>
      </c>
      <c r="K823" s="112">
        <v>10</v>
      </c>
      <c r="L823" s="110">
        <f t="shared" si="49"/>
        <v>2500</v>
      </c>
      <c r="M823" s="111"/>
      <c r="N823" s="111"/>
    </row>
    <row r="824" spans="2:14" ht="15.75">
      <c r="B824" s="106">
        <v>791</v>
      </c>
      <c r="C824" s="117">
        <v>79</v>
      </c>
      <c r="D824" s="108"/>
      <c r="E824" s="25"/>
      <c r="F824" s="25"/>
      <c r="G824" s="112" t="s">
        <v>432</v>
      </c>
      <c r="H824" s="112">
        <v>8</v>
      </c>
      <c r="I824" s="110">
        <v>1</v>
      </c>
      <c r="J824" s="110">
        <v>1</v>
      </c>
      <c r="K824" s="112">
        <v>10</v>
      </c>
      <c r="L824" s="110">
        <f t="shared" si="49"/>
        <v>80</v>
      </c>
      <c r="M824" s="111"/>
      <c r="N824" s="111"/>
    </row>
    <row r="825" spans="2:14" ht="15.75">
      <c r="B825" s="106">
        <v>792</v>
      </c>
      <c r="C825" s="117">
        <v>79</v>
      </c>
      <c r="D825" s="108"/>
      <c r="E825" s="25"/>
      <c r="F825" s="25"/>
      <c r="G825" s="112" t="s">
        <v>463</v>
      </c>
      <c r="H825" s="112">
        <v>119</v>
      </c>
      <c r="I825" s="110">
        <v>1</v>
      </c>
      <c r="J825" s="110">
        <v>1</v>
      </c>
      <c r="K825" s="112">
        <v>12</v>
      </c>
      <c r="L825" s="110">
        <f t="shared" si="49"/>
        <v>1428</v>
      </c>
      <c r="M825" s="111"/>
      <c r="N825" s="111"/>
    </row>
    <row r="826" spans="2:14" ht="15.75">
      <c r="B826" s="106">
        <v>793</v>
      </c>
      <c r="C826" s="117">
        <v>79</v>
      </c>
      <c r="D826" s="108"/>
      <c r="E826" s="25"/>
      <c r="F826" s="25"/>
      <c r="G826" s="112" t="s">
        <v>434</v>
      </c>
      <c r="H826" s="112">
        <v>10</v>
      </c>
      <c r="I826" s="110">
        <v>25</v>
      </c>
      <c r="J826" s="110">
        <v>1</v>
      </c>
      <c r="K826" s="112">
        <v>1</v>
      </c>
      <c r="L826" s="110">
        <f t="shared" si="49"/>
        <v>250</v>
      </c>
      <c r="M826" s="111"/>
      <c r="N826" s="111"/>
    </row>
    <row r="827" spans="2:14" ht="15.75">
      <c r="B827" s="106">
        <v>794</v>
      </c>
      <c r="C827" s="117">
        <v>79</v>
      </c>
      <c r="D827" s="108"/>
      <c r="E827" s="25"/>
      <c r="F827" s="25"/>
      <c r="G827" s="112" t="s">
        <v>455</v>
      </c>
      <c r="H827" s="112">
        <v>260</v>
      </c>
      <c r="I827" s="110">
        <v>1</v>
      </c>
      <c r="J827" s="110">
        <v>1</v>
      </c>
      <c r="K827" s="112">
        <v>1</v>
      </c>
      <c r="L827" s="110">
        <f t="shared" si="49"/>
        <v>260</v>
      </c>
      <c r="M827" s="111"/>
      <c r="N827" s="111"/>
    </row>
    <row r="828" spans="2:14" ht="15.75">
      <c r="B828" s="106">
        <v>795</v>
      </c>
      <c r="C828" s="117">
        <v>79</v>
      </c>
      <c r="D828" s="108"/>
      <c r="E828" s="25"/>
      <c r="F828" s="25"/>
      <c r="G828" s="112" t="s">
        <v>435</v>
      </c>
      <c r="H828" s="112">
        <v>70</v>
      </c>
      <c r="I828" s="110">
        <v>1</v>
      </c>
      <c r="J828" s="110">
        <v>1</v>
      </c>
      <c r="K828" s="112">
        <v>10</v>
      </c>
      <c r="L828" s="110">
        <f t="shared" si="49"/>
        <v>700</v>
      </c>
      <c r="M828" s="111"/>
      <c r="N828" s="111"/>
    </row>
    <row r="829" spans="2:14" ht="15.75">
      <c r="B829" s="106">
        <v>796</v>
      </c>
      <c r="C829" s="117">
        <v>79</v>
      </c>
      <c r="D829" s="108"/>
      <c r="E829" s="25"/>
      <c r="F829" s="25"/>
      <c r="G829" s="112" t="s">
        <v>443</v>
      </c>
      <c r="H829" s="112">
        <v>8.33</v>
      </c>
      <c r="I829" s="110">
        <v>5</v>
      </c>
      <c r="J829" s="110">
        <v>1</v>
      </c>
      <c r="K829" s="112">
        <v>1</v>
      </c>
      <c r="L829" s="110">
        <f t="shared" si="49"/>
        <v>41.65</v>
      </c>
      <c r="M829" s="111"/>
      <c r="N829" s="111"/>
    </row>
    <row r="830" spans="2:14" ht="15.75">
      <c r="B830" s="106">
        <v>797</v>
      </c>
      <c r="C830" s="117">
        <v>79</v>
      </c>
      <c r="D830" s="108"/>
      <c r="E830" s="25"/>
      <c r="F830" s="25"/>
      <c r="G830" s="112" t="s">
        <v>464</v>
      </c>
      <c r="H830" s="112">
        <v>305.56</v>
      </c>
      <c r="I830" s="112">
        <v>1</v>
      </c>
      <c r="J830" s="110">
        <v>1</v>
      </c>
      <c r="K830" s="112">
        <v>1</v>
      </c>
      <c r="L830" s="110">
        <f t="shared" si="49"/>
        <v>305.56</v>
      </c>
      <c r="M830" s="111"/>
      <c r="N830" s="111"/>
    </row>
    <row r="831" spans="2:14" ht="15.75">
      <c r="B831" s="106">
        <v>798</v>
      </c>
      <c r="C831" s="117">
        <v>79</v>
      </c>
      <c r="D831" s="108"/>
      <c r="E831" s="25"/>
      <c r="F831" s="25"/>
      <c r="G831" s="112" t="s">
        <v>465</v>
      </c>
      <c r="H831" s="112">
        <v>166.67</v>
      </c>
      <c r="I831" s="112">
        <v>1</v>
      </c>
      <c r="J831" s="110">
        <v>1</v>
      </c>
      <c r="K831" s="112">
        <v>1</v>
      </c>
      <c r="L831" s="110">
        <f t="shared" si="49"/>
        <v>166.67</v>
      </c>
      <c r="M831" s="111"/>
      <c r="N831" s="111"/>
    </row>
    <row r="832" spans="2:14" ht="15.75">
      <c r="B832" s="106">
        <v>799</v>
      </c>
      <c r="C832" s="117">
        <v>79</v>
      </c>
      <c r="D832" s="108"/>
      <c r="E832" s="25"/>
      <c r="F832" s="25"/>
      <c r="G832" s="112" t="s">
        <v>447</v>
      </c>
      <c r="H832" s="112">
        <v>1.19</v>
      </c>
      <c r="I832" s="112">
        <v>10</v>
      </c>
      <c r="J832" s="110">
        <v>1</v>
      </c>
      <c r="K832" s="112">
        <v>10</v>
      </c>
      <c r="L832" s="110">
        <f t="shared" si="49"/>
        <v>118.99999999999999</v>
      </c>
      <c r="M832" s="111"/>
      <c r="N832" s="111"/>
    </row>
    <row r="833" spans="2:16" ht="15.75">
      <c r="B833" s="106">
        <v>800</v>
      </c>
      <c r="C833" s="117">
        <v>79</v>
      </c>
      <c r="D833" s="108"/>
      <c r="E833" s="25"/>
      <c r="F833" s="25"/>
      <c r="G833" s="112" t="s">
        <v>459</v>
      </c>
      <c r="H833" s="112">
        <v>16.670000000000002</v>
      </c>
      <c r="I833" s="112">
        <v>2</v>
      </c>
      <c r="J833" s="110">
        <v>1</v>
      </c>
      <c r="K833" s="112">
        <v>1</v>
      </c>
      <c r="L833" s="110">
        <f t="shared" si="49"/>
        <v>33.340000000000003</v>
      </c>
      <c r="M833" s="111"/>
      <c r="N833" s="111"/>
    </row>
    <row r="834" spans="2:16" s="138" customFormat="1" ht="38.25">
      <c r="B834" s="126">
        <v>801</v>
      </c>
      <c r="C834" s="127">
        <v>80</v>
      </c>
      <c r="D834" s="135" t="s">
        <v>101</v>
      </c>
      <c r="E834" s="129" t="s">
        <v>104</v>
      </c>
      <c r="F834" s="136" t="s">
        <v>794</v>
      </c>
      <c r="G834" s="131" t="s">
        <v>620</v>
      </c>
      <c r="H834" s="137" t="s">
        <v>671</v>
      </c>
      <c r="I834" s="168"/>
      <c r="J834" s="168"/>
      <c r="K834" s="168"/>
      <c r="L834" s="139">
        <f>SUM(L835:L839)</f>
        <v>33005</v>
      </c>
      <c r="M834" s="133">
        <v>33005</v>
      </c>
      <c r="N834" s="134">
        <v>19205</v>
      </c>
    </row>
    <row r="835" spans="2:16" ht="15.75">
      <c r="B835" s="106">
        <v>802</v>
      </c>
      <c r="C835" s="117">
        <v>80</v>
      </c>
      <c r="D835" s="108"/>
      <c r="E835" s="25"/>
      <c r="F835" s="25"/>
      <c r="G835" s="112" t="s">
        <v>466</v>
      </c>
      <c r="H835" s="112">
        <v>23</v>
      </c>
      <c r="I835" s="112">
        <v>171</v>
      </c>
      <c r="J835" s="112">
        <v>1</v>
      </c>
      <c r="K835" s="112">
        <v>1</v>
      </c>
      <c r="L835" s="131">
        <f t="shared" ref="L835:L839" si="50">H835*I835*J835*K835</f>
        <v>3933</v>
      </c>
      <c r="M835" s="111"/>
      <c r="N835" s="111"/>
      <c r="O835" s="306" t="s">
        <v>1000</v>
      </c>
    </row>
    <row r="836" spans="2:16" ht="15.75">
      <c r="B836" s="106">
        <v>803</v>
      </c>
      <c r="C836" s="117">
        <v>80</v>
      </c>
      <c r="D836" s="108"/>
      <c r="E836" s="25"/>
      <c r="F836" s="25"/>
      <c r="G836" s="112" t="s">
        <v>467</v>
      </c>
      <c r="H836" s="112">
        <v>23</v>
      </c>
      <c r="I836" s="112">
        <v>157</v>
      </c>
      <c r="J836" s="112">
        <v>2</v>
      </c>
      <c r="K836" s="112">
        <v>1</v>
      </c>
      <c r="L836" s="131">
        <f t="shared" si="50"/>
        <v>7222</v>
      </c>
      <c r="M836" s="111"/>
      <c r="N836" s="111"/>
    </row>
    <row r="837" spans="2:16" ht="15.75">
      <c r="B837" s="106">
        <v>804</v>
      </c>
      <c r="C837" s="117">
        <v>80</v>
      </c>
      <c r="D837" s="108"/>
      <c r="E837" s="25"/>
      <c r="F837" s="25"/>
      <c r="G837" s="112" t="s">
        <v>468</v>
      </c>
      <c r="H837" s="112">
        <v>23</v>
      </c>
      <c r="I837" s="112">
        <v>175</v>
      </c>
      <c r="J837" s="112">
        <v>2</v>
      </c>
      <c r="K837" s="112">
        <v>1</v>
      </c>
      <c r="L837" s="131">
        <f t="shared" si="50"/>
        <v>8050</v>
      </c>
      <c r="M837" s="111"/>
      <c r="N837" s="111"/>
    </row>
    <row r="838" spans="2:16" ht="15.75">
      <c r="B838" s="106">
        <v>805</v>
      </c>
      <c r="C838" s="117">
        <v>80</v>
      </c>
      <c r="D838" s="108"/>
      <c r="E838" s="25"/>
      <c r="F838" s="25"/>
      <c r="G838" s="112" t="s">
        <v>469</v>
      </c>
      <c r="H838" s="112">
        <v>23</v>
      </c>
      <c r="I838" s="112">
        <v>190</v>
      </c>
      <c r="J838" s="112">
        <v>1</v>
      </c>
      <c r="K838" s="112">
        <v>1</v>
      </c>
      <c r="L838" s="131">
        <f t="shared" si="50"/>
        <v>4370</v>
      </c>
      <c r="M838" s="111"/>
      <c r="N838" s="111"/>
    </row>
    <row r="839" spans="2:16" ht="15.75">
      <c r="B839" s="106">
        <v>806</v>
      </c>
      <c r="C839" s="117">
        <v>80</v>
      </c>
      <c r="D839" s="108"/>
      <c r="E839" s="25"/>
      <c r="F839" s="25"/>
      <c r="G839" s="112" t="s">
        <v>470</v>
      </c>
      <c r="H839" s="112">
        <v>23</v>
      </c>
      <c r="I839" s="112">
        <v>205</v>
      </c>
      <c r="J839" s="112">
        <v>2</v>
      </c>
      <c r="K839" s="112">
        <v>1</v>
      </c>
      <c r="L839" s="131">
        <f t="shared" si="50"/>
        <v>9430</v>
      </c>
      <c r="M839" s="111"/>
      <c r="N839" s="111"/>
    </row>
    <row r="840" spans="2:16" s="138" customFormat="1" ht="38.25">
      <c r="B840" s="126">
        <v>807</v>
      </c>
      <c r="C840" s="127">
        <v>81</v>
      </c>
      <c r="D840" s="135" t="s">
        <v>103</v>
      </c>
      <c r="E840" s="129" t="s">
        <v>795</v>
      </c>
      <c r="F840" s="136" t="s">
        <v>796</v>
      </c>
      <c r="G840" s="131" t="s">
        <v>102</v>
      </c>
      <c r="H840" s="137" t="s">
        <v>671</v>
      </c>
      <c r="I840" s="131"/>
      <c r="J840" s="131"/>
      <c r="K840" s="131"/>
      <c r="L840" s="139">
        <f>SUM(L841:L845)</f>
        <v>5504</v>
      </c>
      <c r="M840" s="133">
        <v>5504</v>
      </c>
      <c r="N840" s="134">
        <v>2368</v>
      </c>
    </row>
    <row r="841" spans="2:16" ht="15.75">
      <c r="B841" s="106">
        <v>808</v>
      </c>
      <c r="C841" s="117">
        <v>81</v>
      </c>
      <c r="D841" s="108"/>
      <c r="E841" s="25"/>
      <c r="F841" s="25"/>
      <c r="G841" s="112" t="s">
        <v>466</v>
      </c>
      <c r="H841" s="112">
        <v>64</v>
      </c>
      <c r="I841" s="112">
        <v>5</v>
      </c>
      <c r="J841" s="112">
        <v>2</v>
      </c>
      <c r="K841" s="112">
        <v>1</v>
      </c>
      <c r="L841" s="164">
        <f t="shared" ref="L841:L845" si="51">H841*I841*J841*K841</f>
        <v>640</v>
      </c>
      <c r="M841" s="111"/>
      <c r="N841" s="111"/>
      <c r="O841" s="382" t="s">
        <v>1000</v>
      </c>
      <c r="P841" s="383"/>
    </row>
    <row r="842" spans="2:16" ht="15.75">
      <c r="B842" s="106">
        <v>809</v>
      </c>
      <c r="C842" s="117">
        <v>81</v>
      </c>
      <c r="D842" s="108"/>
      <c r="E842" s="25"/>
      <c r="F842" s="25"/>
      <c r="G842" s="112" t="s">
        <v>467</v>
      </c>
      <c r="H842" s="112">
        <v>64</v>
      </c>
      <c r="I842" s="112">
        <v>7</v>
      </c>
      <c r="J842" s="112">
        <v>1</v>
      </c>
      <c r="K842" s="112">
        <v>1</v>
      </c>
      <c r="L842" s="164">
        <f t="shared" si="51"/>
        <v>448</v>
      </c>
      <c r="M842" s="111"/>
      <c r="N842" s="111"/>
      <c r="O842" s="382"/>
      <c r="P842" s="383"/>
    </row>
    <row r="843" spans="2:16" ht="15.75">
      <c r="B843" s="106">
        <v>810</v>
      </c>
      <c r="C843" s="117">
        <v>81</v>
      </c>
      <c r="D843" s="108"/>
      <c r="E843" s="25"/>
      <c r="F843" s="25"/>
      <c r="G843" s="112" t="s">
        <v>468</v>
      </c>
      <c r="H843" s="112">
        <v>64</v>
      </c>
      <c r="I843" s="112">
        <v>10</v>
      </c>
      <c r="J843" s="112">
        <v>2</v>
      </c>
      <c r="K843" s="112">
        <v>1</v>
      </c>
      <c r="L843" s="164">
        <f t="shared" si="51"/>
        <v>1280</v>
      </c>
      <c r="M843" s="111"/>
      <c r="N843" s="111"/>
      <c r="O843" s="382"/>
      <c r="P843" s="383"/>
    </row>
    <row r="844" spans="2:16" ht="15.75">
      <c r="B844" s="106">
        <v>811</v>
      </c>
      <c r="C844" s="117">
        <v>81</v>
      </c>
      <c r="D844" s="108"/>
      <c r="E844" s="25"/>
      <c r="F844" s="25"/>
      <c r="G844" s="112" t="s">
        <v>469</v>
      </c>
      <c r="H844" s="112">
        <v>64</v>
      </c>
      <c r="I844" s="112">
        <v>13</v>
      </c>
      <c r="J844" s="112">
        <v>1</v>
      </c>
      <c r="K844" s="112">
        <v>1</v>
      </c>
      <c r="L844" s="164">
        <f>H844*I844*J844*K844</f>
        <v>832</v>
      </c>
      <c r="M844" s="111"/>
      <c r="N844" s="111"/>
      <c r="O844" s="382"/>
      <c r="P844" s="383"/>
    </row>
    <row r="845" spans="2:16" ht="15.75">
      <c r="B845" s="106">
        <v>812</v>
      </c>
      <c r="C845" s="117">
        <v>81</v>
      </c>
      <c r="D845" s="108"/>
      <c r="E845" s="25"/>
      <c r="F845" s="25"/>
      <c r="G845" s="112" t="s">
        <v>470</v>
      </c>
      <c r="H845" s="112">
        <v>64</v>
      </c>
      <c r="I845" s="112">
        <v>18</v>
      </c>
      <c r="J845" s="112">
        <v>2</v>
      </c>
      <c r="K845" s="112">
        <v>1</v>
      </c>
      <c r="L845" s="164">
        <f t="shared" si="51"/>
        <v>2304</v>
      </c>
      <c r="M845" s="111"/>
      <c r="N845" s="111"/>
      <c r="O845" s="382"/>
      <c r="P845" s="383"/>
    </row>
    <row r="846" spans="2:16" s="138" customFormat="1" ht="38.25">
      <c r="B846" s="126">
        <v>813</v>
      </c>
      <c r="C846" s="127">
        <v>82</v>
      </c>
      <c r="D846" s="135" t="s">
        <v>100</v>
      </c>
      <c r="E846" s="129" t="s">
        <v>99</v>
      </c>
      <c r="F846" s="136" t="s">
        <v>797</v>
      </c>
      <c r="G846" s="131" t="s">
        <v>99</v>
      </c>
      <c r="H846" s="137" t="s">
        <v>671</v>
      </c>
      <c r="I846" s="131"/>
      <c r="J846" s="131"/>
      <c r="K846" s="131"/>
      <c r="L846" s="139">
        <f>SUM(L847:L851)</f>
        <v>660</v>
      </c>
      <c r="M846" s="133">
        <v>660</v>
      </c>
      <c r="N846" s="134">
        <v>330</v>
      </c>
    </row>
    <row r="847" spans="2:16" ht="15.75">
      <c r="B847" s="106">
        <v>814</v>
      </c>
      <c r="C847" s="117">
        <v>82</v>
      </c>
      <c r="D847" s="108"/>
      <c r="E847" s="25"/>
      <c r="F847" s="25"/>
      <c r="G847" s="112" t="s">
        <v>466</v>
      </c>
      <c r="H847" s="112">
        <v>22</v>
      </c>
      <c r="I847" s="112">
        <v>3</v>
      </c>
      <c r="J847" s="112">
        <v>2</v>
      </c>
      <c r="K847" s="112">
        <v>1</v>
      </c>
      <c r="L847" s="164">
        <f>H847*I847*J847*K847</f>
        <v>132</v>
      </c>
      <c r="M847" s="111"/>
      <c r="N847" s="111"/>
      <c r="O847" s="382" t="s">
        <v>1000</v>
      </c>
      <c r="P847" s="383"/>
    </row>
    <row r="848" spans="2:16" ht="15.75">
      <c r="B848" s="106">
        <v>815</v>
      </c>
      <c r="C848" s="117">
        <v>82</v>
      </c>
      <c r="D848" s="108"/>
      <c r="E848" s="25"/>
      <c r="F848" s="25"/>
      <c r="G848" s="112" t="s">
        <v>467</v>
      </c>
      <c r="H848" s="112">
        <v>22</v>
      </c>
      <c r="I848" s="112">
        <v>3</v>
      </c>
      <c r="J848" s="112">
        <v>1</v>
      </c>
      <c r="K848" s="112">
        <v>1</v>
      </c>
      <c r="L848" s="164">
        <f t="shared" ref="L848:L851" si="52">H848*I848*J848*K848</f>
        <v>66</v>
      </c>
      <c r="M848" s="111"/>
      <c r="N848" s="111"/>
      <c r="O848" s="382"/>
      <c r="P848" s="383"/>
    </row>
    <row r="849" spans="2:16" ht="15.75">
      <c r="B849" s="106">
        <v>816</v>
      </c>
      <c r="C849" s="117">
        <v>82</v>
      </c>
      <c r="D849" s="108"/>
      <c r="E849" s="25"/>
      <c r="F849" s="25"/>
      <c r="G849" s="112" t="s">
        <v>468</v>
      </c>
      <c r="H849" s="112">
        <v>22</v>
      </c>
      <c r="I849" s="112">
        <v>3</v>
      </c>
      <c r="J849" s="112">
        <v>2</v>
      </c>
      <c r="K849" s="112">
        <v>1</v>
      </c>
      <c r="L849" s="164">
        <f t="shared" si="52"/>
        <v>132</v>
      </c>
      <c r="M849" s="111"/>
      <c r="N849" s="111"/>
      <c r="O849" s="382"/>
      <c r="P849" s="383"/>
    </row>
    <row r="850" spans="2:16" ht="15.75">
      <c r="B850" s="106">
        <v>817</v>
      </c>
      <c r="C850" s="117">
        <v>82</v>
      </c>
      <c r="D850" s="108"/>
      <c r="E850" s="25"/>
      <c r="F850" s="25"/>
      <c r="G850" s="112" t="s">
        <v>469</v>
      </c>
      <c r="H850" s="112">
        <v>22</v>
      </c>
      <c r="I850" s="112">
        <v>5</v>
      </c>
      <c r="J850" s="112">
        <v>1</v>
      </c>
      <c r="K850" s="112">
        <v>1</v>
      </c>
      <c r="L850" s="164">
        <f t="shared" si="52"/>
        <v>110</v>
      </c>
      <c r="M850" s="111"/>
      <c r="N850" s="111"/>
      <c r="O850" s="382"/>
      <c r="P850" s="383"/>
    </row>
    <row r="851" spans="2:16" ht="15.75">
      <c r="B851" s="106">
        <v>818</v>
      </c>
      <c r="C851" s="117">
        <v>82</v>
      </c>
      <c r="D851" s="108"/>
      <c r="E851" s="25"/>
      <c r="F851" s="25"/>
      <c r="G851" s="112" t="s">
        <v>470</v>
      </c>
      <c r="H851" s="112">
        <v>22</v>
      </c>
      <c r="I851" s="112">
        <v>5</v>
      </c>
      <c r="J851" s="112">
        <v>2</v>
      </c>
      <c r="K851" s="112">
        <v>1</v>
      </c>
      <c r="L851" s="164">
        <f t="shared" si="52"/>
        <v>220</v>
      </c>
      <c r="M851" s="111"/>
      <c r="N851" s="111"/>
      <c r="O851" s="382"/>
      <c r="P851" s="383"/>
    </row>
    <row r="852" spans="2:16" s="138" customFormat="1" ht="76.5">
      <c r="B852" s="126">
        <v>819</v>
      </c>
      <c r="C852" s="127">
        <v>83</v>
      </c>
      <c r="D852" s="128" t="s">
        <v>98</v>
      </c>
      <c r="E852" s="136" t="s">
        <v>97</v>
      </c>
      <c r="F852" s="136" t="s">
        <v>798</v>
      </c>
      <c r="G852" s="131" t="s">
        <v>582</v>
      </c>
      <c r="H852" s="137" t="s">
        <v>671</v>
      </c>
      <c r="I852" s="131"/>
      <c r="J852" s="131"/>
      <c r="K852" s="131"/>
      <c r="L852" s="139">
        <f>SUM(L853:L857)</f>
        <v>6635.25</v>
      </c>
      <c r="M852" s="133">
        <v>7625.07</v>
      </c>
      <c r="N852" s="134">
        <v>3432.09</v>
      </c>
    </row>
    <row r="853" spans="2:16" ht="15.75">
      <c r="B853" s="106">
        <v>820</v>
      </c>
      <c r="C853" s="117">
        <v>83</v>
      </c>
      <c r="D853" s="108"/>
      <c r="E853" s="25"/>
      <c r="F853" s="25"/>
      <c r="G853" s="112" t="s">
        <v>466</v>
      </c>
      <c r="H853" s="112">
        <v>989.82</v>
      </c>
      <c r="I853" s="112">
        <v>1</v>
      </c>
      <c r="J853" s="112">
        <v>0</v>
      </c>
      <c r="K853" s="112">
        <v>1</v>
      </c>
      <c r="L853" s="164">
        <f>H853*I853*J853*K853</f>
        <v>0</v>
      </c>
      <c r="M853" s="111"/>
      <c r="N853" s="111"/>
      <c r="O853" s="382" t="s">
        <v>1000</v>
      </c>
      <c r="P853" s="383"/>
    </row>
    <row r="854" spans="2:16" ht="15.75">
      <c r="B854" s="106">
        <v>821</v>
      </c>
      <c r="C854" s="117">
        <v>83</v>
      </c>
      <c r="D854" s="108"/>
      <c r="E854" s="25"/>
      <c r="F854" s="25"/>
      <c r="G854" s="112" t="s">
        <v>467</v>
      </c>
      <c r="H854" s="112">
        <v>658.41</v>
      </c>
      <c r="I854" s="112">
        <v>1</v>
      </c>
      <c r="J854" s="112">
        <v>1</v>
      </c>
      <c r="K854" s="112">
        <v>1</v>
      </c>
      <c r="L854" s="164">
        <f t="shared" ref="L854:L857" si="53">H854*I854*J854*K854</f>
        <v>658.41</v>
      </c>
      <c r="M854" s="111"/>
      <c r="N854" s="111"/>
      <c r="O854" s="382"/>
      <c r="P854" s="383"/>
    </row>
    <row r="855" spans="2:16" ht="15.75">
      <c r="B855" s="106">
        <v>822</v>
      </c>
      <c r="C855" s="117">
        <v>83</v>
      </c>
      <c r="D855" s="108"/>
      <c r="E855" s="25"/>
      <c r="F855" s="25"/>
      <c r="G855" s="112" t="s">
        <v>468</v>
      </c>
      <c r="H855" s="112">
        <v>1783.86</v>
      </c>
      <c r="I855" s="112">
        <v>1</v>
      </c>
      <c r="J855" s="112">
        <v>1</v>
      </c>
      <c r="K855" s="112">
        <v>1</v>
      </c>
      <c r="L855" s="164">
        <f t="shared" si="53"/>
        <v>1783.86</v>
      </c>
      <c r="M855" s="111"/>
      <c r="N855" s="111"/>
      <c r="O855" s="382"/>
      <c r="P855" s="383"/>
    </row>
    <row r="856" spans="2:16" ht="15.75">
      <c r="B856" s="106">
        <v>823</v>
      </c>
      <c r="C856" s="117">
        <v>83</v>
      </c>
      <c r="D856" s="108"/>
      <c r="E856" s="25"/>
      <c r="F856" s="25"/>
      <c r="G856" s="112" t="s">
        <v>469</v>
      </c>
      <c r="H856" s="112">
        <v>1134.3599999999999</v>
      </c>
      <c r="I856" s="112">
        <v>1</v>
      </c>
      <c r="J856" s="112">
        <v>1</v>
      </c>
      <c r="K856" s="112">
        <v>1</v>
      </c>
      <c r="L856" s="164">
        <f t="shared" si="53"/>
        <v>1134.3599999999999</v>
      </c>
      <c r="M856" s="111"/>
      <c r="N856" s="111"/>
      <c r="O856" s="382"/>
      <c r="P856" s="383"/>
    </row>
    <row r="857" spans="2:16" ht="15.75">
      <c r="B857" s="106">
        <v>824</v>
      </c>
      <c r="C857" s="117">
        <v>83</v>
      </c>
      <c r="D857" s="108"/>
      <c r="E857" s="25"/>
      <c r="F857" s="25"/>
      <c r="G857" s="112" t="s">
        <v>470</v>
      </c>
      <c r="H857" s="112">
        <v>3058.62</v>
      </c>
      <c r="I857" s="112">
        <v>1</v>
      </c>
      <c r="J857" s="112">
        <v>1</v>
      </c>
      <c r="K857" s="112">
        <v>1</v>
      </c>
      <c r="L857" s="164">
        <f t="shared" si="53"/>
        <v>3058.62</v>
      </c>
      <c r="M857" s="111"/>
      <c r="N857" s="111"/>
      <c r="O857" s="382"/>
      <c r="P857" s="383"/>
    </row>
    <row r="858" spans="2:16" s="138" customFormat="1" ht="38.25">
      <c r="B858" s="126">
        <v>825</v>
      </c>
      <c r="C858" s="127">
        <v>84</v>
      </c>
      <c r="D858" s="135" t="s">
        <v>96</v>
      </c>
      <c r="E858" s="129" t="s">
        <v>95</v>
      </c>
      <c r="F858" s="136" t="s">
        <v>799</v>
      </c>
      <c r="G858" s="131" t="s">
        <v>95</v>
      </c>
      <c r="H858" s="137" t="s">
        <v>671</v>
      </c>
      <c r="I858" s="131"/>
      <c r="J858" s="131"/>
      <c r="K858" s="131"/>
      <c r="L858" s="139">
        <f>SUM(L859:L873)</f>
        <v>5508.0599999999995</v>
      </c>
      <c r="M858" s="133">
        <v>5508.06</v>
      </c>
      <c r="N858" s="134">
        <v>5508.06</v>
      </c>
    </row>
    <row r="859" spans="2:16" ht="15.75">
      <c r="B859" s="106">
        <v>826</v>
      </c>
      <c r="C859" s="117">
        <v>84</v>
      </c>
      <c r="D859" s="108"/>
      <c r="E859" s="25"/>
      <c r="F859" s="25"/>
      <c r="G859" s="112" t="s">
        <v>453</v>
      </c>
      <c r="H859" s="112">
        <v>25</v>
      </c>
      <c r="I859" s="110">
        <v>2</v>
      </c>
      <c r="J859" s="110">
        <v>1</v>
      </c>
      <c r="K859" s="112">
        <v>5</v>
      </c>
      <c r="L859" s="110">
        <f>H859*I859*J859*K859</f>
        <v>250</v>
      </c>
      <c r="M859" s="111"/>
      <c r="N859" s="111"/>
    </row>
    <row r="860" spans="2:16" ht="15.75">
      <c r="B860" s="106">
        <v>827</v>
      </c>
      <c r="C860" s="117">
        <v>84</v>
      </c>
      <c r="D860" s="108"/>
      <c r="E860" s="25"/>
      <c r="F860" s="25"/>
      <c r="G860" s="112" t="s">
        <v>462</v>
      </c>
      <c r="H860" s="112">
        <v>25</v>
      </c>
      <c r="I860" s="110">
        <v>1</v>
      </c>
      <c r="J860" s="110">
        <v>1</v>
      </c>
      <c r="K860" s="112">
        <v>5</v>
      </c>
      <c r="L860" s="110">
        <f t="shared" ref="L860:L873" si="54">H860*I860*J860*K860</f>
        <v>125</v>
      </c>
      <c r="M860" s="111"/>
      <c r="N860" s="111"/>
    </row>
    <row r="861" spans="2:16" ht="15.75">
      <c r="B861" s="106">
        <v>828</v>
      </c>
      <c r="C861" s="117">
        <v>84</v>
      </c>
      <c r="D861" s="108"/>
      <c r="E861" s="25"/>
      <c r="F861" s="25"/>
      <c r="G861" s="112" t="s">
        <v>568</v>
      </c>
      <c r="H861" s="112">
        <v>4</v>
      </c>
      <c r="I861" s="110">
        <v>27</v>
      </c>
      <c r="J861" s="110">
        <v>1</v>
      </c>
      <c r="K861" s="112">
        <v>5</v>
      </c>
      <c r="L861" s="110">
        <f t="shared" si="54"/>
        <v>540</v>
      </c>
      <c r="M861" s="111"/>
      <c r="N861" s="111"/>
    </row>
    <row r="862" spans="2:16" ht="15.75">
      <c r="B862" s="106">
        <v>829</v>
      </c>
      <c r="C862" s="117">
        <v>84</v>
      </c>
      <c r="D862" s="108"/>
      <c r="E862" s="25"/>
      <c r="F862" s="25"/>
      <c r="G862" s="112" t="s">
        <v>569</v>
      </c>
      <c r="H862" s="112">
        <v>8</v>
      </c>
      <c r="I862" s="110">
        <v>27</v>
      </c>
      <c r="J862" s="110">
        <v>1</v>
      </c>
      <c r="K862" s="112">
        <v>5</v>
      </c>
      <c r="L862" s="110">
        <f t="shared" si="54"/>
        <v>1080</v>
      </c>
      <c r="M862" s="111"/>
      <c r="N862" s="111"/>
    </row>
    <row r="863" spans="2:16" ht="24">
      <c r="B863" s="106">
        <v>830</v>
      </c>
      <c r="C863" s="117">
        <v>84</v>
      </c>
      <c r="D863" s="108"/>
      <c r="E863" s="25"/>
      <c r="F863" s="25"/>
      <c r="G863" s="112" t="s">
        <v>570</v>
      </c>
      <c r="H863" s="112">
        <v>10</v>
      </c>
      <c r="I863" s="110">
        <v>24</v>
      </c>
      <c r="J863" s="110">
        <v>1</v>
      </c>
      <c r="K863" s="112">
        <v>5</v>
      </c>
      <c r="L863" s="110">
        <f t="shared" si="54"/>
        <v>1200</v>
      </c>
      <c r="M863" s="111"/>
      <c r="N863" s="111"/>
    </row>
    <row r="864" spans="2:16" ht="15.75">
      <c r="B864" s="106">
        <v>831</v>
      </c>
      <c r="C864" s="117">
        <v>84</v>
      </c>
      <c r="D864" s="108"/>
      <c r="E864" s="25"/>
      <c r="F864" s="25"/>
      <c r="G864" s="112" t="s">
        <v>432</v>
      </c>
      <c r="H864" s="112">
        <v>8</v>
      </c>
      <c r="I864" s="110">
        <v>1</v>
      </c>
      <c r="J864" s="110">
        <v>1</v>
      </c>
      <c r="K864" s="112">
        <v>5</v>
      </c>
      <c r="L864" s="110">
        <f t="shared" si="54"/>
        <v>40</v>
      </c>
      <c r="M864" s="111"/>
      <c r="N864" s="111"/>
    </row>
    <row r="865" spans="2:14" ht="15.75">
      <c r="B865" s="106">
        <v>832</v>
      </c>
      <c r="C865" s="117">
        <v>84</v>
      </c>
      <c r="D865" s="108"/>
      <c r="E865" s="25"/>
      <c r="F865" s="25"/>
      <c r="G865" s="112" t="s">
        <v>463</v>
      </c>
      <c r="H865" s="112">
        <v>119</v>
      </c>
      <c r="I865" s="110">
        <v>1</v>
      </c>
      <c r="J865" s="110">
        <v>1</v>
      </c>
      <c r="K865" s="112">
        <v>7</v>
      </c>
      <c r="L865" s="110">
        <f t="shared" si="54"/>
        <v>833</v>
      </c>
      <c r="M865" s="111"/>
      <c r="N865" s="111"/>
    </row>
    <row r="866" spans="2:14" ht="15.75">
      <c r="B866" s="106">
        <v>833</v>
      </c>
      <c r="C866" s="117">
        <v>84</v>
      </c>
      <c r="D866" s="108"/>
      <c r="E866" s="25"/>
      <c r="F866" s="25"/>
      <c r="G866" s="112" t="s">
        <v>434</v>
      </c>
      <c r="H866" s="112">
        <v>10</v>
      </c>
      <c r="I866" s="110">
        <v>24</v>
      </c>
      <c r="J866" s="110">
        <v>1</v>
      </c>
      <c r="K866" s="112">
        <v>1</v>
      </c>
      <c r="L866" s="110">
        <f t="shared" si="54"/>
        <v>240</v>
      </c>
      <c r="M866" s="111"/>
      <c r="N866" s="111"/>
    </row>
    <row r="867" spans="2:14" ht="15.75">
      <c r="B867" s="106">
        <v>834</v>
      </c>
      <c r="C867" s="117">
        <v>84</v>
      </c>
      <c r="D867" s="108"/>
      <c r="E867" s="25"/>
      <c r="F867" s="25"/>
      <c r="G867" s="112" t="s">
        <v>455</v>
      </c>
      <c r="H867" s="112">
        <v>260</v>
      </c>
      <c r="I867" s="110">
        <v>1</v>
      </c>
      <c r="J867" s="110">
        <v>1</v>
      </c>
      <c r="K867" s="112">
        <v>1</v>
      </c>
      <c r="L867" s="110">
        <f t="shared" si="54"/>
        <v>260</v>
      </c>
      <c r="M867" s="111"/>
      <c r="N867" s="111"/>
    </row>
    <row r="868" spans="2:14" ht="15.75">
      <c r="B868" s="106">
        <v>835</v>
      </c>
      <c r="C868" s="117">
        <v>84</v>
      </c>
      <c r="D868" s="108"/>
      <c r="E868" s="25"/>
      <c r="F868" s="25"/>
      <c r="G868" s="112" t="s">
        <v>435</v>
      </c>
      <c r="H868" s="112">
        <v>70</v>
      </c>
      <c r="I868" s="110">
        <v>1</v>
      </c>
      <c r="J868" s="110">
        <v>1</v>
      </c>
      <c r="K868" s="112">
        <v>5</v>
      </c>
      <c r="L868" s="110">
        <f t="shared" si="54"/>
        <v>350</v>
      </c>
      <c r="M868" s="111"/>
      <c r="N868" s="111"/>
    </row>
    <row r="869" spans="2:14" ht="15.75">
      <c r="B869" s="106">
        <v>836</v>
      </c>
      <c r="C869" s="117">
        <v>84</v>
      </c>
      <c r="D869" s="108"/>
      <c r="E869" s="25"/>
      <c r="F869" s="25"/>
      <c r="G869" s="112" t="s">
        <v>443</v>
      </c>
      <c r="H869" s="112">
        <v>8.33</v>
      </c>
      <c r="I869" s="110">
        <v>5</v>
      </c>
      <c r="J869" s="110">
        <v>1</v>
      </c>
      <c r="K869" s="112">
        <v>1</v>
      </c>
      <c r="L869" s="110">
        <f t="shared" si="54"/>
        <v>41.65</v>
      </c>
      <c r="M869" s="111"/>
      <c r="N869" s="111"/>
    </row>
    <row r="870" spans="2:14" ht="15.75">
      <c r="B870" s="106">
        <v>837</v>
      </c>
      <c r="C870" s="117">
        <v>84</v>
      </c>
      <c r="D870" s="108"/>
      <c r="E870" s="25"/>
      <c r="F870" s="25"/>
      <c r="G870" s="112" t="s">
        <v>464</v>
      </c>
      <c r="H870" s="112">
        <v>305.57</v>
      </c>
      <c r="I870" s="112">
        <v>1</v>
      </c>
      <c r="J870" s="110">
        <v>1</v>
      </c>
      <c r="K870" s="112">
        <v>1</v>
      </c>
      <c r="L870" s="110">
        <f t="shared" si="54"/>
        <v>305.57</v>
      </c>
      <c r="M870" s="111"/>
      <c r="N870" s="111"/>
    </row>
    <row r="871" spans="2:14" ht="15.75">
      <c r="B871" s="106">
        <v>838</v>
      </c>
      <c r="C871" s="117">
        <v>84</v>
      </c>
      <c r="D871" s="108"/>
      <c r="E871" s="25"/>
      <c r="F871" s="25"/>
      <c r="G871" s="112" t="s">
        <v>465</v>
      </c>
      <c r="H871" s="112">
        <v>166.67</v>
      </c>
      <c r="I871" s="112">
        <v>1</v>
      </c>
      <c r="J871" s="110">
        <v>1</v>
      </c>
      <c r="K871" s="112">
        <v>1</v>
      </c>
      <c r="L871" s="110">
        <f t="shared" si="54"/>
        <v>166.67</v>
      </c>
      <c r="M871" s="111"/>
      <c r="N871" s="111"/>
    </row>
    <row r="872" spans="2:14" ht="15.75">
      <c r="B872" s="106">
        <v>839</v>
      </c>
      <c r="C872" s="117">
        <v>84</v>
      </c>
      <c r="D872" s="108"/>
      <c r="E872" s="25"/>
      <c r="F872" s="25"/>
      <c r="G872" s="112" t="s">
        <v>447</v>
      </c>
      <c r="H872" s="112">
        <v>1.19</v>
      </c>
      <c r="I872" s="112">
        <v>10</v>
      </c>
      <c r="J872" s="110">
        <v>1</v>
      </c>
      <c r="K872" s="112">
        <v>5</v>
      </c>
      <c r="L872" s="110">
        <f t="shared" si="54"/>
        <v>59.499999999999993</v>
      </c>
      <c r="M872" s="111"/>
      <c r="N872" s="111"/>
    </row>
    <row r="873" spans="2:14" ht="15.75">
      <c r="B873" s="106">
        <v>840</v>
      </c>
      <c r="C873" s="117">
        <v>84</v>
      </c>
      <c r="D873" s="108"/>
      <c r="E873" s="25"/>
      <c r="F873" s="25"/>
      <c r="G873" s="112" t="s">
        <v>459</v>
      </c>
      <c r="H873" s="112">
        <v>16.670000000000002</v>
      </c>
      <c r="I873" s="112">
        <v>1</v>
      </c>
      <c r="J873" s="110">
        <v>1</v>
      </c>
      <c r="K873" s="112">
        <v>1</v>
      </c>
      <c r="L873" s="110">
        <f t="shared" si="54"/>
        <v>16.670000000000002</v>
      </c>
      <c r="M873" s="111"/>
      <c r="N873" s="111"/>
    </row>
    <row r="874" spans="2:14" s="138" customFormat="1" ht="38.25">
      <c r="B874" s="126">
        <v>841</v>
      </c>
      <c r="C874" s="127">
        <v>85</v>
      </c>
      <c r="D874" s="146" t="s">
        <v>94</v>
      </c>
      <c r="E874" s="129" t="s">
        <v>93</v>
      </c>
      <c r="F874" s="136" t="s">
        <v>800</v>
      </c>
      <c r="G874" s="131" t="s">
        <v>621</v>
      </c>
      <c r="H874" s="137" t="s">
        <v>671</v>
      </c>
      <c r="I874" s="131"/>
      <c r="J874" s="131"/>
      <c r="K874" s="131"/>
      <c r="L874" s="139">
        <f>SUM(L875:L885)</f>
        <v>3182.41</v>
      </c>
      <c r="M874" s="133">
        <v>15912.03</v>
      </c>
      <c r="N874" s="134">
        <v>9547.23</v>
      </c>
    </row>
    <row r="875" spans="2:14" ht="15.75">
      <c r="B875" s="106">
        <v>842</v>
      </c>
      <c r="C875" s="117">
        <v>85</v>
      </c>
      <c r="D875" s="108"/>
      <c r="E875" s="25"/>
      <c r="F875" s="25"/>
      <c r="G875" s="112" t="s">
        <v>462</v>
      </c>
      <c r="H875" s="112">
        <v>25</v>
      </c>
      <c r="I875" s="110">
        <v>2</v>
      </c>
      <c r="J875" s="110">
        <v>4</v>
      </c>
      <c r="K875" s="110">
        <v>7</v>
      </c>
      <c r="L875" s="110">
        <f>H875*I875*J875*K875</f>
        <v>1400</v>
      </c>
      <c r="M875" s="111"/>
      <c r="N875" s="111"/>
    </row>
    <row r="876" spans="2:14" ht="15.75">
      <c r="B876" s="106">
        <v>843</v>
      </c>
      <c r="C876" s="117">
        <v>85</v>
      </c>
      <c r="D876" s="108"/>
      <c r="E876" s="25"/>
      <c r="F876" s="25"/>
      <c r="G876" s="112" t="s">
        <v>550</v>
      </c>
      <c r="H876" s="112">
        <v>8</v>
      </c>
      <c r="I876" s="110">
        <v>1</v>
      </c>
      <c r="J876" s="110">
        <v>4</v>
      </c>
      <c r="K876" s="110">
        <v>7</v>
      </c>
      <c r="L876" s="110">
        <f t="shared" ref="L876:L885" si="55">H876*I876*J876*K876</f>
        <v>224</v>
      </c>
      <c r="M876" s="111"/>
      <c r="N876" s="111"/>
    </row>
    <row r="877" spans="2:14" ht="15.75">
      <c r="B877" s="106">
        <v>844</v>
      </c>
      <c r="C877" s="117">
        <v>85</v>
      </c>
      <c r="D877" s="108"/>
      <c r="E877" s="25"/>
      <c r="F877" s="25"/>
      <c r="G877" s="112" t="s">
        <v>472</v>
      </c>
      <c r="H877" s="112">
        <v>1.19</v>
      </c>
      <c r="I877" s="110">
        <v>215</v>
      </c>
      <c r="J877" s="110">
        <v>4</v>
      </c>
      <c r="K877" s="110">
        <v>1</v>
      </c>
      <c r="L877" s="110">
        <f t="shared" si="55"/>
        <v>1023.4</v>
      </c>
      <c r="M877" s="111"/>
      <c r="N877" s="111"/>
    </row>
    <row r="878" spans="2:14" ht="15.75">
      <c r="B878" s="106">
        <v>845</v>
      </c>
      <c r="C878" s="117">
        <v>85</v>
      </c>
      <c r="D878" s="108"/>
      <c r="E878" s="25"/>
      <c r="F878" s="25"/>
      <c r="G878" s="114" t="s">
        <v>473</v>
      </c>
      <c r="H878" s="112">
        <v>0.28999999999999998</v>
      </c>
      <c r="I878" s="110">
        <v>2</v>
      </c>
      <c r="J878" s="110">
        <v>4</v>
      </c>
      <c r="K878" s="110">
        <v>1</v>
      </c>
      <c r="L878" s="110">
        <f t="shared" si="55"/>
        <v>2.3199999999999998</v>
      </c>
      <c r="M878" s="111"/>
      <c r="N878" s="111"/>
    </row>
    <row r="879" spans="2:14" ht="15.75">
      <c r="B879" s="106">
        <v>846</v>
      </c>
      <c r="C879" s="117">
        <v>85</v>
      </c>
      <c r="D879" s="108"/>
      <c r="E879" s="25"/>
      <c r="F879" s="25"/>
      <c r="G879" s="112" t="s">
        <v>443</v>
      </c>
      <c r="H879" s="112">
        <v>8.33</v>
      </c>
      <c r="I879" s="110">
        <v>7</v>
      </c>
      <c r="J879" s="110">
        <v>4</v>
      </c>
      <c r="K879" s="110">
        <v>1</v>
      </c>
      <c r="L879" s="110">
        <f t="shared" si="55"/>
        <v>233.24</v>
      </c>
      <c r="M879" s="111"/>
      <c r="N879" s="111"/>
    </row>
    <row r="880" spans="2:14" ht="15.75">
      <c r="B880" s="106">
        <v>847</v>
      </c>
      <c r="C880" s="117">
        <v>85</v>
      </c>
      <c r="D880" s="108"/>
      <c r="E880" s="25"/>
      <c r="F880" s="25"/>
      <c r="G880" s="114" t="s">
        <v>474</v>
      </c>
      <c r="H880" s="112">
        <v>5.87</v>
      </c>
      <c r="I880" s="110">
        <v>2</v>
      </c>
      <c r="J880" s="110">
        <v>4</v>
      </c>
      <c r="K880" s="110">
        <v>1</v>
      </c>
      <c r="L880" s="110">
        <f t="shared" si="55"/>
        <v>46.96</v>
      </c>
      <c r="M880" s="111"/>
      <c r="N880" s="111"/>
    </row>
    <row r="881" spans="2:14" ht="15.75">
      <c r="B881" s="106">
        <v>848</v>
      </c>
      <c r="C881" s="117">
        <v>85</v>
      </c>
      <c r="D881" s="108"/>
      <c r="E881" s="25"/>
      <c r="F881" s="25"/>
      <c r="G881" s="114" t="s">
        <v>437</v>
      </c>
      <c r="H881" s="112">
        <f>23.48+3.17000000000007</f>
        <v>26.65000000000007</v>
      </c>
      <c r="I881" s="110">
        <v>1</v>
      </c>
      <c r="J881" s="110">
        <v>1</v>
      </c>
      <c r="K881" s="110">
        <v>1</v>
      </c>
      <c r="L881" s="110">
        <f t="shared" si="55"/>
        <v>26.65000000000007</v>
      </c>
      <c r="M881" s="111"/>
      <c r="N881" s="111"/>
    </row>
    <row r="882" spans="2:14" ht="15.75">
      <c r="B882" s="106">
        <v>849</v>
      </c>
      <c r="C882" s="117">
        <v>85</v>
      </c>
      <c r="D882" s="108"/>
      <c r="E882" s="25"/>
      <c r="F882" s="25"/>
      <c r="G882" s="114" t="s">
        <v>475</v>
      </c>
      <c r="H882" s="112">
        <v>0.59</v>
      </c>
      <c r="I882" s="110">
        <v>2</v>
      </c>
      <c r="J882" s="110">
        <v>4</v>
      </c>
      <c r="K882" s="110">
        <v>1</v>
      </c>
      <c r="L882" s="110">
        <f t="shared" si="55"/>
        <v>4.72</v>
      </c>
      <c r="M882" s="111"/>
      <c r="N882" s="111"/>
    </row>
    <row r="883" spans="2:14" ht="15.75">
      <c r="B883" s="106">
        <v>850</v>
      </c>
      <c r="C883" s="117">
        <v>85</v>
      </c>
      <c r="D883" s="108"/>
      <c r="E883" s="25"/>
      <c r="F883" s="25"/>
      <c r="G883" s="114" t="s">
        <v>476</v>
      </c>
      <c r="H883" s="112">
        <v>0.88</v>
      </c>
      <c r="I883" s="110">
        <v>2</v>
      </c>
      <c r="J883" s="110">
        <v>4</v>
      </c>
      <c r="K883" s="110">
        <v>1</v>
      </c>
      <c r="L883" s="110">
        <f t="shared" si="55"/>
        <v>7.04</v>
      </c>
      <c r="M883" s="111"/>
      <c r="N883" s="111"/>
    </row>
    <row r="884" spans="2:14" ht="15.75">
      <c r="B884" s="106">
        <v>851</v>
      </c>
      <c r="C884" s="117">
        <v>85</v>
      </c>
      <c r="D884" s="108"/>
      <c r="E884" s="25"/>
      <c r="F884" s="25"/>
      <c r="G884" s="112" t="s">
        <v>444</v>
      </c>
      <c r="H884" s="112">
        <v>1.1100000000000001</v>
      </c>
      <c r="I884" s="110">
        <v>24</v>
      </c>
      <c r="J884" s="110">
        <v>4</v>
      </c>
      <c r="K884" s="110">
        <v>1</v>
      </c>
      <c r="L884" s="110">
        <f t="shared" si="55"/>
        <v>106.56</v>
      </c>
      <c r="M884" s="111"/>
      <c r="N884" s="111"/>
    </row>
    <row r="885" spans="2:14" ht="15.75">
      <c r="B885" s="106">
        <v>852</v>
      </c>
      <c r="C885" s="117">
        <v>85</v>
      </c>
      <c r="D885" s="108"/>
      <c r="E885" s="25"/>
      <c r="F885" s="25"/>
      <c r="G885" s="112" t="s">
        <v>456</v>
      </c>
      <c r="H885" s="112">
        <v>0.56000000000000005</v>
      </c>
      <c r="I885" s="110">
        <v>48</v>
      </c>
      <c r="J885" s="110">
        <v>4</v>
      </c>
      <c r="K885" s="110">
        <v>1</v>
      </c>
      <c r="L885" s="110">
        <f t="shared" si="55"/>
        <v>107.52000000000001</v>
      </c>
      <c r="M885" s="111"/>
      <c r="N885" s="111"/>
    </row>
    <row r="886" spans="2:14" s="138" customFormat="1" ht="38.25">
      <c r="B886" s="126">
        <v>841</v>
      </c>
      <c r="C886" s="127">
        <v>85</v>
      </c>
      <c r="D886" s="135" t="s">
        <v>92</v>
      </c>
      <c r="E886" s="129" t="s">
        <v>91</v>
      </c>
      <c r="F886" s="136" t="s">
        <v>847</v>
      </c>
      <c r="G886" s="132"/>
      <c r="H886" s="159"/>
      <c r="I886" s="159"/>
      <c r="J886" s="159"/>
      <c r="K886" s="159"/>
      <c r="L886" s="132">
        <f>SUM(L887:L888)</f>
        <v>3070.2</v>
      </c>
      <c r="M886" s="133">
        <v>15351</v>
      </c>
      <c r="N886" s="134">
        <v>9547.23</v>
      </c>
    </row>
    <row r="887" spans="2:14" ht="15.75">
      <c r="B887" s="106">
        <v>842</v>
      </c>
      <c r="C887" s="117">
        <v>85</v>
      </c>
      <c r="D887" s="108"/>
      <c r="E887" s="25"/>
      <c r="F887" s="25"/>
      <c r="G887" s="112"/>
      <c r="H887" s="112">
        <v>3070.2</v>
      </c>
      <c r="I887" s="110">
        <v>1</v>
      </c>
      <c r="J887" s="110">
        <v>1</v>
      </c>
      <c r="K887" s="110">
        <v>1</v>
      </c>
      <c r="L887" s="110">
        <f>H887*I887*J887*K887</f>
        <v>3070.2</v>
      </c>
      <c r="M887" s="111"/>
      <c r="N887" s="111"/>
    </row>
    <row r="888" spans="2:14" ht="15.75">
      <c r="B888" s="106">
        <v>843</v>
      </c>
      <c r="C888" s="117">
        <v>85</v>
      </c>
      <c r="D888" s="108"/>
      <c r="E888" s="25"/>
      <c r="F888" s="25"/>
      <c r="G888" s="112"/>
      <c r="H888" s="112">
        <v>0</v>
      </c>
      <c r="I888" s="110">
        <v>1</v>
      </c>
      <c r="J888" s="110">
        <v>4</v>
      </c>
      <c r="K888" s="110">
        <v>7</v>
      </c>
      <c r="L888" s="110">
        <f t="shared" ref="L888" si="56">H888*I888*J888*K888</f>
        <v>0</v>
      </c>
      <c r="M888" s="111"/>
      <c r="N888" s="111"/>
    </row>
    <row r="889" spans="2:14" s="138" customFormat="1" ht="84">
      <c r="B889" s="126">
        <v>853</v>
      </c>
      <c r="C889" s="127">
        <v>87</v>
      </c>
      <c r="D889" s="135" t="s">
        <v>90</v>
      </c>
      <c r="E889" s="129" t="s">
        <v>801</v>
      </c>
      <c r="F889" s="136" t="s">
        <v>802</v>
      </c>
      <c r="G889" s="131" t="s">
        <v>89</v>
      </c>
      <c r="H889" s="137" t="s">
        <v>671</v>
      </c>
      <c r="I889" s="131"/>
      <c r="J889" s="131"/>
      <c r="K889" s="131"/>
      <c r="L889" s="139">
        <f>SUM(L890:L906)</f>
        <v>11856.72</v>
      </c>
      <c r="M889" s="133">
        <v>11856.72</v>
      </c>
      <c r="N889" s="134">
        <v>11856.72</v>
      </c>
    </row>
    <row r="890" spans="2:14" ht="15.75">
      <c r="B890" s="106">
        <v>854</v>
      </c>
      <c r="C890" s="117">
        <v>87</v>
      </c>
      <c r="D890" s="108"/>
      <c r="E890" s="25"/>
      <c r="F890" s="25"/>
      <c r="G890" s="112" t="s">
        <v>453</v>
      </c>
      <c r="H890" s="112">
        <v>25</v>
      </c>
      <c r="I890" s="110">
        <v>2</v>
      </c>
      <c r="J890" s="110">
        <v>3</v>
      </c>
      <c r="K890" s="112">
        <v>5</v>
      </c>
      <c r="L890" s="110">
        <f>H890*I890*J890*K890</f>
        <v>750</v>
      </c>
      <c r="M890" s="111"/>
      <c r="N890" s="111"/>
    </row>
    <row r="891" spans="2:14" ht="15.75">
      <c r="B891" s="106">
        <v>855</v>
      </c>
      <c r="C891" s="117">
        <v>87</v>
      </c>
      <c r="D891" s="108"/>
      <c r="E891" s="25"/>
      <c r="F891" s="25"/>
      <c r="G891" s="112" t="s">
        <v>462</v>
      </c>
      <c r="H891" s="112">
        <v>25</v>
      </c>
      <c r="I891" s="110">
        <v>1</v>
      </c>
      <c r="J891" s="110">
        <v>3</v>
      </c>
      <c r="K891" s="112">
        <v>5</v>
      </c>
      <c r="L891" s="110">
        <f t="shared" ref="L891:L906" si="57">H891*I891*J891*K891</f>
        <v>375</v>
      </c>
      <c r="M891" s="111"/>
      <c r="N891" s="111"/>
    </row>
    <row r="892" spans="2:14" ht="15.75">
      <c r="B892" s="106">
        <v>856</v>
      </c>
      <c r="C892" s="117">
        <v>87</v>
      </c>
      <c r="D892" s="108"/>
      <c r="E892" s="25"/>
      <c r="F892" s="25"/>
      <c r="G892" s="112" t="s">
        <v>648</v>
      </c>
      <c r="H892" s="112">
        <v>4</v>
      </c>
      <c r="I892" s="110">
        <v>24</v>
      </c>
      <c r="J892" s="110">
        <v>2</v>
      </c>
      <c r="K892" s="112">
        <v>5</v>
      </c>
      <c r="L892" s="110">
        <f t="shared" si="57"/>
        <v>960</v>
      </c>
      <c r="M892" s="111"/>
      <c r="N892" s="111"/>
    </row>
    <row r="893" spans="2:14" ht="15.75">
      <c r="B893" s="106">
        <v>857</v>
      </c>
      <c r="C893" s="117">
        <v>87</v>
      </c>
      <c r="D893" s="108"/>
      <c r="E893" s="25"/>
      <c r="F893" s="25"/>
      <c r="G893" s="112" t="s">
        <v>649</v>
      </c>
      <c r="H893" s="112">
        <v>4</v>
      </c>
      <c r="I893" s="110">
        <v>12</v>
      </c>
      <c r="J893" s="110">
        <v>1</v>
      </c>
      <c r="K893" s="112">
        <v>5</v>
      </c>
      <c r="L893" s="110">
        <f t="shared" si="57"/>
        <v>240</v>
      </c>
      <c r="M893" s="111"/>
      <c r="N893" s="111"/>
    </row>
    <row r="894" spans="2:14" ht="15.75">
      <c r="B894" s="106">
        <v>858</v>
      </c>
      <c r="C894" s="117">
        <v>87</v>
      </c>
      <c r="D894" s="108"/>
      <c r="E894" s="25"/>
      <c r="F894" s="25"/>
      <c r="G894" s="112" t="s">
        <v>650</v>
      </c>
      <c r="H894" s="112">
        <v>8</v>
      </c>
      <c r="I894" s="110">
        <v>24</v>
      </c>
      <c r="J894" s="110">
        <v>2</v>
      </c>
      <c r="K894" s="112">
        <v>5</v>
      </c>
      <c r="L894" s="110">
        <f t="shared" si="57"/>
        <v>1920</v>
      </c>
      <c r="M894" s="111"/>
      <c r="N894" s="111"/>
    </row>
    <row r="895" spans="2:14" ht="15.75">
      <c r="B895" s="106">
        <v>859</v>
      </c>
      <c r="C895" s="117">
        <v>87</v>
      </c>
      <c r="D895" s="108"/>
      <c r="E895" s="25"/>
      <c r="F895" s="25"/>
      <c r="G895" s="112" t="s">
        <v>651</v>
      </c>
      <c r="H895" s="112">
        <v>8</v>
      </c>
      <c r="I895" s="110">
        <v>12</v>
      </c>
      <c r="J895" s="110">
        <v>1</v>
      </c>
      <c r="K895" s="112">
        <v>5</v>
      </c>
      <c r="L895" s="110">
        <f t="shared" si="57"/>
        <v>480</v>
      </c>
      <c r="M895" s="111"/>
      <c r="N895" s="111"/>
    </row>
    <row r="896" spans="2:14" ht="24">
      <c r="B896" s="106">
        <v>860</v>
      </c>
      <c r="C896" s="117">
        <v>87</v>
      </c>
      <c r="D896" s="108"/>
      <c r="E896" s="25"/>
      <c r="F896" s="25"/>
      <c r="G896" s="112" t="s">
        <v>570</v>
      </c>
      <c r="H896" s="112">
        <v>10</v>
      </c>
      <c r="I896" s="110">
        <v>50</v>
      </c>
      <c r="J896" s="110">
        <v>1</v>
      </c>
      <c r="K896" s="112">
        <v>5</v>
      </c>
      <c r="L896" s="110">
        <f t="shared" si="57"/>
        <v>2500</v>
      </c>
      <c r="M896" s="111"/>
      <c r="N896" s="111"/>
    </row>
    <row r="897" spans="2:14" ht="15.75">
      <c r="B897" s="106">
        <v>861</v>
      </c>
      <c r="C897" s="117">
        <v>87</v>
      </c>
      <c r="D897" s="108"/>
      <c r="E897" s="25"/>
      <c r="F897" s="25"/>
      <c r="G897" s="112" t="s">
        <v>432</v>
      </c>
      <c r="H897" s="112">
        <v>8</v>
      </c>
      <c r="I897" s="110">
        <v>1</v>
      </c>
      <c r="J897" s="110">
        <v>3</v>
      </c>
      <c r="K897" s="112">
        <v>5</v>
      </c>
      <c r="L897" s="110">
        <f t="shared" si="57"/>
        <v>120</v>
      </c>
      <c r="M897" s="111"/>
      <c r="N897" s="111"/>
    </row>
    <row r="898" spans="2:14" ht="15.75">
      <c r="B898" s="106">
        <v>862</v>
      </c>
      <c r="C898" s="117">
        <v>87</v>
      </c>
      <c r="D898" s="108"/>
      <c r="E898" s="25"/>
      <c r="F898" s="25"/>
      <c r="G898" s="112" t="s">
        <v>463</v>
      </c>
      <c r="H898" s="112">
        <v>119</v>
      </c>
      <c r="I898" s="110">
        <v>2</v>
      </c>
      <c r="J898" s="110">
        <v>1</v>
      </c>
      <c r="K898" s="112">
        <v>7</v>
      </c>
      <c r="L898" s="110">
        <f t="shared" si="57"/>
        <v>1666</v>
      </c>
      <c r="M898" s="111"/>
      <c r="N898" s="111"/>
    </row>
    <row r="899" spans="2:14" ht="15.75">
      <c r="B899" s="106">
        <v>863</v>
      </c>
      <c r="C899" s="117">
        <v>87</v>
      </c>
      <c r="D899" s="108"/>
      <c r="E899" s="25"/>
      <c r="F899" s="25"/>
      <c r="G899" s="112" t="s">
        <v>434</v>
      </c>
      <c r="H899" s="112">
        <v>10</v>
      </c>
      <c r="I899" s="110">
        <v>50</v>
      </c>
      <c r="J899" s="110">
        <v>1</v>
      </c>
      <c r="K899" s="112">
        <v>1</v>
      </c>
      <c r="L899" s="110">
        <f t="shared" si="57"/>
        <v>500</v>
      </c>
      <c r="M899" s="111"/>
      <c r="N899" s="111"/>
    </row>
    <row r="900" spans="2:14" ht="15.75">
      <c r="B900" s="106">
        <v>864</v>
      </c>
      <c r="C900" s="117">
        <v>87</v>
      </c>
      <c r="D900" s="108"/>
      <c r="E900" s="25"/>
      <c r="F900" s="25"/>
      <c r="G900" s="112" t="s">
        <v>455</v>
      </c>
      <c r="H900" s="112">
        <v>260</v>
      </c>
      <c r="I900" s="110">
        <v>2</v>
      </c>
      <c r="J900" s="110">
        <v>1</v>
      </c>
      <c r="K900" s="112">
        <v>1</v>
      </c>
      <c r="L900" s="110">
        <f t="shared" si="57"/>
        <v>520</v>
      </c>
      <c r="M900" s="111"/>
      <c r="N900" s="111"/>
    </row>
    <row r="901" spans="2:14" ht="15.75">
      <c r="B901" s="106">
        <v>865</v>
      </c>
      <c r="C901" s="117">
        <v>87</v>
      </c>
      <c r="D901" s="108"/>
      <c r="E901" s="25"/>
      <c r="F901" s="25"/>
      <c r="G901" s="112" t="s">
        <v>435</v>
      </c>
      <c r="H901" s="112">
        <v>70</v>
      </c>
      <c r="I901" s="110">
        <v>1</v>
      </c>
      <c r="J901" s="110">
        <v>3</v>
      </c>
      <c r="K901" s="112">
        <v>5</v>
      </c>
      <c r="L901" s="110">
        <f t="shared" si="57"/>
        <v>1050</v>
      </c>
      <c r="M901" s="111"/>
      <c r="N901" s="111"/>
    </row>
    <row r="902" spans="2:14" ht="15.75">
      <c r="B902" s="106">
        <v>866</v>
      </c>
      <c r="C902" s="117">
        <v>87</v>
      </c>
      <c r="D902" s="108"/>
      <c r="E902" s="25"/>
      <c r="F902" s="25"/>
      <c r="G902" s="112" t="s">
        <v>443</v>
      </c>
      <c r="H902" s="112">
        <v>8.33</v>
      </c>
      <c r="I902" s="110">
        <v>3</v>
      </c>
      <c r="J902" s="110">
        <v>3</v>
      </c>
      <c r="K902" s="112">
        <v>1</v>
      </c>
      <c r="L902" s="110">
        <f t="shared" si="57"/>
        <v>74.97</v>
      </c>
      <c r="M902" s="111"/>
      <c r="N902" s="111"/>
    </row>
    <row r="903" spans="2:14" ht="15.75">
      <c r="B903" s="106">
        <v>867</v>
      </c>
      <c r="C903" s="117">
        <v>87</v>
      </c>
      <c r="D903" s="108"/>
      <c r="E903" s="25"/>
      <c r="F903" s="25"/>
      <c r="G903" s="112" t="s">
        <v>464</v>
      </c>
      <c r="H903" s="112">
        <v>305.57</v>
      </c>
      <c r="I903" s="112">
        <v>1</v>
      </c>
      <c r="J903" s="110">
        <v>1</v>
      </c>
      <c r="K903" s="112">
        <v>1</v>
      </c>
      <c r="L903" s="110">
        <f t="shared" si="57"/>
        <v>305.57</v>
      </c>
      <c r="M903" s="111"/>
      <c r="N903" s="111"/>
    </row>
    <row r="904" spans="2:14" ht="15.75">
      <c r="B904" s="106">
        <v>868</v>
      </c>
      <c r="C904" s="117">
        <v>87</v>
      </c>
      <c r="D904" s="108"/>
      <c r="E904" s="25"/>
      <c r="F904" s="25"/>
      <c r="G904" s="112" t="s">
        <v>465</v>
      </c>
      <c r="H904" s="112">
        <v>166.67</v>
      </c>
      <c r="I904" s="112">
        <v>1</v>
      </c>
      <c r="J904" s="110">
        <v>1</v>
      </c>
      <c r="K904" s="112">
        <v>1</v>
      </c>
      <c r="L904" s="110">
        <f t="shared" si="57"/>
        <v>166.67</v>
      </c>
      <c r="M904" s="111"/>
      <c r="N904" s="111"/>
    </row>
    <row r="905" spans="2:14" ht="15.75">
      <c r="B905" s="106">
        <v>869</v>
      </c>
      <c r="C905" s="117">
        <v>87</v>
      </c>
      <c r="D905" s="108"/>
      <c r="E905" s="25"/>
      <c r="F905" s="25"/>
      <c r="G905" s="112" t="s">
        <v>447</v>
      </c>
      <c r="H905" s="112">
        <v>1.19</v>
      </c>
      <c r="I905" s="112">
        <v>10</v>
      </c>
      <c r="J905" s="110">
        <v>3</v>
      </c>
      <c r="K905" s="112">
        <v>5</v>
      </c>
      <c r="L905" s="110">
        <f t="shared" si="57"/>
        <v>178.49999999999997</v>
      </c>
      <c r="M905" s="111"/>
      <c r="N905" s="111"/>
    </row>
    <row r="906" spans="2:14" ht="15.75">
      <c r="B906" s="106">
        <v>870</v>
      </c>
      <c r="C906" s="117">
        <v>87</v>
      </c>
      <c r="D906" s="108"/>
      <c r="E906" s="25"/>
      <c r="F906" s="25"/>
      <c r="G906" s="112" t="s">
        <v>459</v>
      </c>
      <c r="H906" s="112">
        <v>16.670000000000002</v>
      </c>
      <c r="I906" s="112">
        <v>1</v>
      </c>
      <c r="J906" s="110">
        <v>3</v>
      </c>
      <c r="K906" s="112">
        <v>1</v>
      </c>
      <c r="L906" s="110">
        <f t="shared" si="57"/>
        <v>50.010000000000005</v>
      </c>
      <c r="M906" s="111"/>
      <c r="N906" s="111"/>
    </row>
    <row r="907" spans="2:14" s="138" customFormat="1" ht="84">
      <c r="B907" s="126">
        <v>871</v>
      </c>
      <c r="C907" s="127">
        <v>88</v>
      </c>
      <c r="D907" s="135" t="s">
        <v>87</v>
      </c>
      <c r="E907" s="129" t="s">
        <v>803</v>
      </c>
      <c r="F907" s="136" t="s">
        <v>804</v>
      </c>
      <c r="G907" s="131" t="s">
        <v>86</v>
      </c>
      <c r="H907" s="137" t="s">
        <v>671</v>
      </c>
      <c r="I907" s="131"/>
      <c r="J907" s="131"/>
      <c r="K907" s="131"/>
      <c r="L907" s="139">
        <f>SUM(L908:L924)</f>
        <v>11856.72</v>
      </c>
      <c r="M907" s="133">
        <v>11856.72</v>
      </c>
      <c r="N907" s="134">
        <v>11856.72</v>
      </c>
    </row>
    <row r="908" spans="2:14" ht="15.75">
      <c r="B908" s="106">
        <v>872</v>
      </c>
      <c r="C908" s="117">
        <v>88</v>
      </c>
      <c r="D908" s="108"/>
      <c r="E908" s="25"/>
      <c r="F908" s="25"/>
      <c r="G908" s="112" t="s">
        <v>453</v>
      </c>
      <c r="H908" s="112">
        <v>25</v>
      </c>
      <c r="I908" s="110">
        <v>2</v>
      </c>
      <c r="J908" s="110">
        <v>3</v>
      </c>
      <c r="K908" s="112">
        <v>5</v>
      </c>
      <c r="L908" s="110">
        <f>H908*I908*J908*K908</f>
        <v>750</v>
      </c>
      <c r="M908" s="111"/>
      <c r="N908" s="111"/>
    </row>
    <row r="909" spans="2:14" ht="15.75">
      <c r="B909" s="106">
        <v>873</v>
      </c>
      <c r="C909" s="117">
        <v>88</v>
      </c>
      <c r="D909" s="108"/>
      <c r="E909" s="25"/>
      <c r="F909" s="25"/>
      <c r="G909" s="112" t="s">
        <v>462</v>
      </c>
      <c r="H909" s="112">
        <v>25</v>
      </c>
      <c r="I909" s="110">
        <v>1</v>
      </c>
      <c r="J909" s="110">
        <v>3</v>
      </c>
      <c r="K909" s="112">
        <v>5</v>
      </c>
      <c r="L909" s="110">
        <f t="shared" ref="L909:L924" si="58">H909*I909*J909*K909</f>
        <v>375</v>
      </c>
      <c r="M909" s="111"/>
      <c r="N909" s="111"/>
    </row>
    <row r="910" spans="2:14" ht="15.75">
      <c r="B910" s="106">
        <v>874</v>
      </c>
      <c r="C910" s="117">
        <v>88</v>
      </c>
      <c r="D910" s="108"/>
      <c r="E910" s="25"/>
      <c r="F910" s="25"/>
      <c r="G910" s="112" t="s">
        <v>648</v>
      </c>
      <c r="H910" s="112">
        <v>4</v>
      </c>
      <c r="I910" s="110">
        <v>24</v>
      </c>
      <c r="J910" s="110">
        <v>2</v>
      </c>
      <c r="K910" s="112">
        <v>5</v>
      </c>
      <c r="L910" s="110">
        <f t="shared" si="58"/>
        <v>960</v>
      </c>
      <c r="M910" s="111"/>
      <c r="N910" s="111"/>
    </row>
    <row r="911" spans="2:14" ht="15.75">
      <c r="B911" s="106">
        <v>875</v>
      </c>
      <c r="C911" s="117">
        <v>88</v>
      </c>
      <c r="D911" s="108"/>
      <c r="E911" s="25"/>
      <c r="F911" s="25"/>
      <c r="G911" s="112" t="s">
        <v>649</v>
      </c>
      <c r="H911" s="112">
        <v>4</v>
      </c>
      <c r="I911" s="110">
        <v>12</v>
      </c>
      <c r="J911" s="110">
        <v>1</v>
      </c>
      <c r="K911" s="112">
        <v>5</v>
      </c>
      <c r="L911" s="110">
        <f t="shared" si="58"/>
        <v>240</v>
      </c>
      <c r="M911" s="111"/>
      <c r="N911" s="111"/>
    </row>
    <row r="912" spans="2:14" ht="15.75">
      <c r="B912" s="106">
        <v>876</v>
      </c>
      <c r="C912" s="117">
        <v>88</v>
      </c>
      <c r="D912" s="108"/>
      <c r="E912" s="25"/>
      <c r="F912" s="25"/>
      <c r="G912" s="112" t="s">
        <v>650</v>
      </c>
      <c r="H912" s="112">
        <v>8</v>
      </c>
      <c r="I912" s="110">
        <v>24</v>
      </c>
      <c r="J912" s="110">
        <v>2</v>
      </c>
      <c r="K912" s="112">
        <v>5</v>
      </c>
      <c r="L912" s="110">
        <f t="shared" si="58"/>
        <v>1920</v>
      </c>
      <c r="M912" s="111"/>
      <c r="N912" s="111"/>
    </row>
    <row r="913" spans="2:14" ht="15.75">
      <c r="B913" s="106">
        <v>877</v>
      </c>
      <c r="C913" s="117">
        <v>88</v>
      </c>
      <c r="D913" s="108"/>
      <c r="E913" s="25"/>
      <c r="F913" s="25"/>
      <c r="G913" s="112" t="s">
        <v>651</v>
      </c>
      <c r="H913" s="112">
        <v>8</v>
      </c>
      <c r="I913" s="110">
        <v>12</v>
      </c>
      <c r="J913" s="110">
        <v>1</v>
      </c>
      <c r="K913" s="112">
        <v>5</v>
      </c>
      <c r="L913" s="110">
        <f t="shared" si="58"/>
        <v>480</v>
      </c>
      <c r="M913" s="111"/>
      <c r="N913" s="111"/>
    </row>
    <row r="914" spans="2:14" ht="24">
      <c r="B914" s="106">
        <v>878</v>
      </c>
      <c r="C914" s="117">
        <v>88</v>
      </c>
      <c r="D914" s="108"/>
      <c r="E914" s="25"/>
      <c r="F914" s="25"/>
      <c r="G914" s="112" t="s">
        <v>570</v>
      </c>
      <c r="H914" s="112">
        <v>10</v>
      </c>
      <c r="I914" s="110">
        <v>50</v>
      </c>
      <c r="J914" s="110">
        <v>1</v>
      </c>
      <c r="K914" s="112">
        <v>5</v>
      </c>
      <c r="L914" s="110">
        <f t="shared" si="58"/>
        <v>2500</v>
      </c>
      <c r="M914" s="111"/>
      <c r="N914" s="111"/>
    </row>
    <row r="915" spans="2:14" ht="15.75">
      <c r="B915" s="106">
        <v>879</v>
      </c>
      <c r="C915" s="117">
        <v>88</v>
      </c>
      <c r="D915" s="108"/>
      <c r="E915" s="25"/>
      <c r="F915" s="25"/>
      <c r="G915" s="112" t="s">
        <v>432</v>
      </c>
      <c r="H915" s="112">
        <v>8</v>
      </c>
      <c r="I915" s="110">
        <v>1</v>
      </c>
      <c r="J915" s="110">
        <v>3</v>
      </c>
      <c r="K915" s="112">
        <v>5</v>
      </c>
      <c r="L915" s="110">
        <f t="shared" si="58"/>
        <v>120</v>
      </c>
      <c r="M915" s="111"/>
      <c r="N915" s="111"/>
    </row>
    <row r="916" spans="2:14" ht="15.75">
      <c r="B916" s="106">
        <v>880</v>
      </c>
      <c r="C916" s="117">
        <v>88</v>
      </c>
      <c r="D916" s="108"/>
      <c r="E916" s="25"/>
      <c r="F916" s="25"/>
      <c r="G916" s="112" t="s">
        <v>463</v>
      </c>
      <c r="H916" s="112">
        <v>119</v>
      </c>
      <c r="I916" s="110">
        <v>2</v>
      </c>
      <c r="J916" s="110">
        <v>1</v>
      </c>
      <c r="K916" s="112">
        <v>7</v>
      </c>
      <c r="L916" s="110">
        <f t="shared" si="58"/>
        <v>1666</v>
      </c>
      <c r="M916" s="111"/>
      <c r="N916" s="111"/>
    </row>
    <row r="917" spans="2:14" ht="15.75">
      <c r="B917" s="106">
        <v>881</v>
      </c>
      <c r="C917" s="117">
        <v>88</v>
      </c>
      <c r="D917" s="108"/>
      <c r="E917" s="25"/>
      <c r="F917" s="25"/>
      <c r="G917" s="112" t="s">
        <v>434</v>
      </c>
      <c r="H917" s="112">
        <v>10</v>
      </c>
      <c r="I917" s="110">
        <v>50</v>
      </c>
      <c r="J917" s="110">
        <v>1</v>
      </c>
      <c r="K917" s="112">
        <v>1</v>
      </c>
      <c r="L917" s="110">
        <f t="shared" si="58"/>
        <v>500</v>
      </c>
      <c r="M917" s="111"/>
      <c r="N917" s="111"/>
    </row>
    <row r="918" spans="2:14" ht="15.75">
      <c r="B918" s="106">
        <v>882</v>
      </c>
      <c r="C918" s="117">
        <v>88</v>
      </c>
      <c r="D918" s="108"/>
      <c r="E918" s="25"/>
      <c r="F918" s="25"/>
      <c r="G918" s="112" t="s">
        <v>455</v>
      </c>
      <c r="H918" s="112">
        <v>260</v>
      </c>
      <c r="I918" s="110">
        <v>2</v>
      </c>
      <c r="J918" s="110">
        <v>1</v>
      </c>
      <c r="K918" s="112">
        <v>1</v>
      </c>
      <c r="L918" s="110">
        <f t="shared" si="58"/>
        <v>520</v>
      </c>
      <c r="M918" s="111"/>
      <c r="N918" s="111"/>
    </row>
    <row r="919" spans="2:14" ht="15.75">
      <c r="B919" s="106">
        <v>883</v>
      </c>
      <c r="C919" s="117">
        <v>88</v>
      </c>
      <c r="D919" s="108"/>
      <c r="E919" s="25"/>
      <c r="F919" s="25"/>
      <c r="G919" s="112" t="s">
        <v>435</v>
      </c>
      <c r="H919" s="112">
        <v>70</v>
      </c>
      <c r="I919" s="110">
        <v>1</v>
      </c>
      <c r="J919" s="110">
        <v>3</v>
      </c>
      <c r="K919" s="112">
        <v>5</v>
      </c>
      <c r="L919" s="110">
        <f t="shared" si="58"/>
        <v>1050</v>
      </c>
      <c r="M919" s="111"/>
      <c r="N919" s="111"/>
    </row>
    <row r="920" spans="2:14" ht="15.75">
      <c r="B920" s="106">
        <v>884</v>
      </c>
      <c r="C920" s="117">
        <v>88</v>
      </c>
      <c r="D920" s="108"/>
      <c r="E920" s="25"/>
      <c r="F920" s="25"/>
      <c r="G920" s="112" t="s">
        <v>443</v>
      </c>
      <c r="H920" s="112">
        <v>8.33</v>
      </c>
      <c r="I920" s="110">
        <v>3</v>
      </c>
      <c r="J920" s="110">
        <v>3</v>
      </c>
      <c r="K920" s="112">
        <v>1</v>
      </c>
      <c r="L920" s="110">
        <f t="shared" si="58"/>
        <v>74.97</v>
      </c>
      <c r="M920" s="111"/>
      <c r="N920" s="111"/>
    </row>
    <row r="921" spans="2:14" ht="15.75">
      <c r="B921" s="106">
        <v>885</v>
      </c>
      <c r="C921" s="117">
        <v>88</v>
      </c>
      <c r="D921" s="108"/>
      <c r="E921" s="25"/>
      <c r="F921" s="25"/>
      <c r="G921" s="112" t="s">
        <v>464</v>
      </c>
      <c r="H921" s="112">
        <v>305.57</v>
      </c>
      <c r="I921" s="112">
        <v>1</v>
      </c>
      <c r="J921" s="110">
        <v>1</v>
      </c>
      <c r="K921" s="112">
        <v>1</v>
      </c>
      <c r="L921" s="110">
        <f t="shared" si="58"/>
        <v>305.57</v>
      </c>
      <c r="M921" s="111"/>
      <c r="N921" s="111"/>
    </row>
    <row r="922" spans="2:14" ht="15.75">
      <c r="B922" s="106">
        <v>886</v>
      </c>
      <c r="C922" s="117">
        <v>88</v>
      </c>
      <c r="D922" s="108"/>
      <c r="E922" s="25"/>
      <c r="F922" s="25"/>
      <c r="G922" s="112" t="s">
        <v>465</v>
      </c>
      <c r="H922" s="112">
        <v>166.67</v>
      </c>
      <c r="I922" s="112">
        <v>1</v>
      </c>
      <c r="J922" s="110">
        <v>1</v>
      </c>
      <c r="K922" s="112">
        <v>1</v>
      </c>
      <c r="L922" s="110">
        <f t="shared" si="58"/>
        <v>166.67</v>
      </c>
      <c r="M922" s="111"/>
      <c r="N922" s="111"/>
    </row>
    <row r="923" spans="2:14" ht="15.75">
      <c r="B923" s="106">
        <v>887</v>
      </c>
      <c r="C923" s="117">
        <v>88</v>
      </c>
      <c r="D923" s="108"/>
      <c r="E923" s="25"/>
      <c r="F923" s="25"/>
      <c r="G923" s="112" t="s">
        <v>447</v>
      </c>
      <c r="H923" s="112">
        <v>1.19</v>
      </c>
      <c r="I923" s="112">
        <v>10</v>
      </c>
      <c r="J923" s="110">
        <v>3</v>
      </c>
      <c r="K923" s="112">
        <v>5</v>
      </c>
      <c r="L923" s="110">
        <f t="shared" si="58"/>
        <v>178.49999999999997</v>
      </c>
      <c r="M923" s="111"/>
      <c r="N923" s="111"/>
    </row>
    <row r="924" spans="2:14" ht="15.75">
      <c r="B924" s="106">
        <v>888</v>
      </c>
      <c r="C924" s="117">
        <v>88</v>
      </c>
      <c r="D924" s="108"/>
      <c r="E924" s="25"/>
      <c r="F924" s="25"/>
      <c r="G924" s="112" t="s">
        <v>459</v>
      </c>
      <c r="H924" s="112">
        <v>16.670000000000002</v>
      </c>
      <c r="I924" s="112">
        <v>1</v>
      </c>
      <c r="J924" s="110">
        <v>3</v>
      </c>
      <c r="K924" s="112">
        <v>1</v>
      </c>
      <c r="L924" s="110">
        <f t="shared" si="58"/>
        <v>50.010000000000005</v>
      </c>
      <c r="M924" s="111"/>
      <c r="N924" s="111"/>
    </row>
    <row r="925" spans="2:14" s="138" customFormat="1" ht="25.5">
      <c r="B925" s="126">
        <v>889</v>
      </c>
      <c r="C925" s="127">
        <v>89</v>
      </c>
      <c r="D925" s="135" t="s">
        <v>85</v>
      </c>
      <c r="E925" s="129" t="s">
        <v>84</v>
      </c>
      <c r="F925" s="136" t="s">
        <v>805</v>
      </c>
      <c r="G925" s="131" t="s">
        <v>84</v>
      </c>
      <c r="H925" s="137" t="s">
        <v>671</v>
      </c>
      <c r="I925" s="131"/>
      <c r="J925" s="131"/>
      <c r="K925" s="131"/>
      <c r="L925" s="139">
        <f>SUM(L926:L927)</f>
        <v>3000</v>
      </c>
      <c r="M925" s="133">
        <v>15000</v>
      </c>
      <c r="N925" s="134">
        <v>9000</v>
      </c>
    </row>
    <row r="926" spans="2:14" ht="15.75">
      <c r="B926" s="106">
        <v>890</v>
      </c>
      <c r="C926" s="117">
        <v>89</v>
      </c>
      <c r="D926" s="108"/>
      <c r="E926" s="25"/>
      <c r="F926" s="25"/>
      <c r="G926" s="112" t="s">
        <v>613</v>
      </c>
      <c r="H926" s="112">
        <v>47.62</v>
      </c>
      <c r="I926" s="112">
        <v>150</v>
      </c>
      <c r="J926" s="112">
        <v>0</v>
      </c>
      <c r="K926" s="112">
        <v>4</v>
      </c>
      <c r="L926" s="110">
        <f>H926*I926*J926*K926</f>
        <v>0</v>
      </c>
      <c r="M926" s="111"/>
      <c r="N926" s="111"/>
    </row>
    <row r="927" spans="2:14" ht="15.75">
      <c r="B927" s="106">
        <v>891</v>
      </c>
      <c r="C927" s="117">
        <v>89</v>
      </c>
      <c r="D927" s="108"/>
      <c r="E927" s="25"/>
      <c r="F927" s="25"/>
      <c r="G927" s="112" t="s">
        <v>614</v>
      </c>
      <c r="H927" s="112">
        <v>250</v>
      </c>
      <c r="I927" s="112">
        <v>1</v>
      </c>
      <c r="J927" s="112">
        <v>1</v>
      </c>
      <c r="K927" s="112">
        <v>12</v>
      </c>
      <c r="L927" s="110">
        <f>H927*I927*J927*K927</f>
        <v>3000</v>
      </c>
      <c r="M927" s="111"/>
      <c r="N927" s="111"/>
    </row>
    <row r="928" spans="2:14" s="138" customFormat="1" ht="60">
      <c r="B928" s="126">
        <v>892</v>
      </c>
      <c r="C928" s="127">
        <v>90</v>
      </c>
      <c r="D928" s="135" t="s">
        <v>83</v>
      </c>
      <c r="E928" s="129" t="s">
        <v>806</v>
      </c>
      <c r="F928" s="136" t="s">
        <v>807</v>
      </c>
      <c r="G928" s="131" t="s">
        <v>82</v>
      </c>
      <c r="H928" s="137" t="s">
        <v>671</v>
      </c>
      <c r="I928" s="131"/>
      <c r="J928" s="131"/>
      <c r="K928" s="131"/>
      <c r="L928" s="139">
        <f>SUM(L929:L943)</f>
        <v>6143.39</v>
      </c>
      <c r="M928" s="133">
        <v>12286.78</v>
      </c>
      <c r="N928" s="134">
        <v>6143.39</v>
      </c>
    </row>
    <row r="929" spans="2:14" ht="15.75">
      <c r="B929" s="106">
        <v>893</v>
      </c>
      <c r="C929" s="117">
        <v>90</v>
      </c>
      <c r="D929" s="108"/>
      <c r="E929" s="25"/>
      <c r="F929" s="25"/>
      <c r="G929" s="112" t="s">
        <v>453</v>
      </c>
      <c r="H929" s="112">
        <v>25</v>
      </c>
      <c r="I929" s="110">
        <v>2</v>
      </c>
      <c r="J929" s="110">
        <v>1</v>
      </c>
      <c r="K929" s="112">
        <v>5</v>
      </c>
      <c r="L929" s="110">
        <f>H929*I929*J929*K929</f>
        <v>250</v>
      </c>
      <c r="M929" s="111"/>
      <c r="N929" s="111"/>
    </row>
    <row r="930" spans="2:14" ht="15.75">
      <c r="B930" s="106">
        <v>894</v>
      </c>
      <c r="C930" s="117">
        <v>90</v>
      </c>
      <c r="D930" s="108"/>
      <c r="E930" s="25"/>
      <c r="F930" s="25"/>
      <c r="G930" s="112" t="s">
        <v>462</v>
      </c>
      <c r="H930" s="112">
        <v>25</v>
      </c>
      <c r="I930" s="110">
        <v>1</v>
      </c>
      <c r="J930" s="110">
        <v>0</v>
      </c>
      <c r="K930" s="112">
        <v>5</v>
      </c>
      <c r="L930" s="110">
        <f t="shared" ref="L930:L943" si="59">H930*I930*J930*K930</f>
        <v>0</v>
      </c>
      <c r="M930" s="111"/>
      <c r="N930" s="111"/>
    </row>
    <row r="931" spans="2:14" ht="15.75">
      <c r="B931" s="106">
        <v>895</v>
      </c>
      <c r="C931" s="117">
        <v>90</v>
      </c>
      <c r="D931" s="108"/>
      <c r="E931" s="25"/>
      <c r="F931" s="25"/>
      <c r="G931" s="112" t="s">
        <v>429</v>
      </c>
      <c r="H931" s="112">
        <v>4</v>
      </c>
      <c r="I931" s="110">
        <v>22</v>
      </c>
      <c r="J931" s="110">
        <v>1</v>
      </c>
      <c r="K931" s="112">
        <v>5</v>
      </c>
      <c r="L931" s="110">
        <f t="shared" si="59"/>
        <v>440</v>
      </c>
      <c r="M931" s="111"/>
      <c r="N931" s="111"/>
    </row>
    <row r="932" spans="2:14" ht="15.75">
      <c r="B932" s="106">
        <v>896</v>
      </c>
      <c r="C932" s="117">
        <v>90</v>
      </c>
      <c r="D932" s="108"/>
      <c r="E932" s="25"/>
      <c r="F932" s="25"/>
      <c r="G932" s="112" t="s">
        <v>430</v>
      </c>
      <c r="H932" s="112">
        <v>8</v>
      </c>
      <c r="I932" s="110">
        <v>22</v>
      </c>
      <c r="J932" s="110">
        <v>1</v>
      </c>
      <c r="K932" s="112">
        <v>5</v>
      </c>
      <c r="L932" s="110">
        <f t="shared" si="59"/>
        <v>880</v>
      </c>
      <c r="M932" s="111"/>
      <c r="N932" s="111"/>
    </row>
    <row r="933" spans="2:14" ht="24">
      <c r="B933" s="106">
        <v>897</v>
      </c>
      <c r="C933" s="117">
        <v>90</v>
      </c>
      <c r="D933" s="108"/>
      <c r="E933" s="25"/>
      <c r="F933" s="25"/>
      <c r="G933" s="112" t="s">
        <v>431</v>
      </c>
      <c r="H933" s="112">
        <v>10</v>
      </c>
      <c r="I933" s="110">
        <v>20</v>
      </c>
      <c r="J933" s="110">
        <v>1</v>
      </c>
      <c r="K933" s="112">
        <v>5</v>
      </c>
      <c r="L933" s="110">
        <f t="shared" si="59"/>
        <v>1000</v>
      </c>
      <c r="M933" s="111"/>
      <c r="N933" s="111"/>
    </row>
    <row r="934" spans="2:14" ht="15.75">
      <c r="B934" s="106">
        <v>898</v>
      </c>
      <c r="C934" s="117">
        <v>90</v>
      </c>
      <c r="D934" s="108"/>
      <c r="E934" s="25"/>
      <c r="F934" s="25"/>
      <c r="G934" s="112" t="s">
        <v>432</v>
      </c>
      <c r="H934" s="112">
        <v>8</v>
      </c>
      <c r="I934" s="110">
        <v>1</v>
      </c>
      <c r="J934" s="110">
        <v>1</v>
      </c>
      <c r="K934" s="112">
        <v>5</v>
      </c>
      <c r="L934" s="110">
        <f t="shared" si="59"/>
        <v>40</v>
      </c>
      <c r="M934" s="111"/>
      <c r="N934" s="111"/>
    </row>
    <row r="935" spans="2:14" ht="24">
      <c r="B935" s="106">
        <v>899</v>
      </c>
      <c r="C935" s="117">
        <v>90</v>
      </c>
      <c r="D935" s="108"/>
      <c r="E935" s="25"/>
      <c r="F935" s="25"/>
      <c r="G935" s="112" t="s">
        <v>481</v>
      </c>
      <c r="H935" s="112">
        <v>135</v>
      </c>
      <c r="I935" s="110">
        <v>2</v>
      </c>
      <c r="J935" s="110">
        <v>1</v>
      </c>
      <c r="K935" s="112">
        <v>7</v>
      </c>
      <c r="L935" s="110">
        <f t="shared" si="59"/>
        <v>1890</v>
      </c>
      <c r="M935" s="111"/>
      <c r="N935" s="111"/>
    </row>
    <row r="936" spans="2:14" ht="15.75">
      <c r="B936" s="106">
        <v>900</v>
      </c>
      <c r="C936" s="117">
        <v>90</v>
      </c>
      <c r="D936" s="108"/>
      <c r="E936" s="25"/>
      <c r="F936" s="25"/>
      <c r="G936" s="112" t="s">
        <v>434</v>
      </c>
      <c r="H936" s="112">
        <v>10</v>
      </c>
      <c r="I936" s="110">
        <v>20</v>
      </c>
      <c r="J936" s="110">
        <v>1</v>
      </c>
      <c r="K936" s="112">
        <v>1</v>
      </c>
      <c r="L936" s="110">
        <f t="shared" si="59"/>
        <v>200</v>
      </c>
      <c r="M936" s="111"/>
      <c r="N936" s="111"/>
    </row>
    <row r="937" spans="2:14" ht="15.75">
      <c r="B937" s="106">
        <v>901</v>
      </c>
      <c r="C937" s="117">
        <v>90</v>
      </c>
      <c r="D937" s="108"/>
      <c r="E937" s="25"/>
      <c r="F937" s="25"/>
      <c r="G937" s="112" t="s">
        <v>455</v>
      </c>
      <c r="H937" s="112">
        <v>260</v>
      </c>
      <c r="I937" s="110">
        <v>2</v>
      </c>
      <c r="J937" s="110">
        <v>1</v>
      </c>
      <c r="K937" s="112">
        <v>1</v>
      </c>
      <c r="L937" s="110">
        <f t="shared" si="59"/>
        <v>520</v>
      </c>
      <c r="M937" s="111"/>
      <c r="N937" s="111"/>
    </row>
    <row r="938" spans="2:14" ht="15.75">
      <c r="B938" s="106">
        <v>902</v>
      </c>
      <c r="C938" s="117">
        <v>90</v>
      </c>
      <c r="D938" s="108"/>
      <c r="E938" s="25"/>
      <c r="F938" s="25"/>
      <c r="G938" s="112" t="s">
        <v>435</v>
      </c>
      <c r="H938" s="112">
        <v>70</v>
      </c>
      <c r="I938" s="110">
        <v>1</v>
      </c>
      <c r="J938" s="110">
        <v>1</v>
      </c>
      <c r="K938" s="112">
        <v>5</v>
      </c>
      <c r="L938" s="110">
        <f t="shared" si="59"/>
        <v>350</v>
      </c>
      <c r="M938" s="111"/>
      <c r="N938" s="111"/>
    </row>
    <row r="939" spans="2:14" ht="15.75">
      <c r="B939" s="106">
        <v>903</v>
      </c>
      <c r="C939" s="117">
        <v>90</v>
      </c>
      <c r="D939" s="108"/>
      <c r="E939" s="25"/>
      <c r="F939" s="25"/>
      <c r="G939" s="112" t="s">
        <v>443</v>
      </c>
      <c r="H939" s="112">
        <v>8.33</v>
      </c>
      <c r="I939" s="110">
        <v>3</v>
      </c>
      <c r="J939" s="110">
        <v>1</v>
      </c>
      <c r="K939" s="112">
        <v>1</v>
      </c>
      <c r="L939" s="110">
        <f t="shared" si="59"/>
        <v>24.990000000000002</v>
      </c>
      <c r="M939" s="111"/>
      <c r="N939" s="111"/>
    </row>
    <row r="940" spans="2:14" ht="15.75">
      <c r="B940" s="106">
        <v>904</v>
      </c>
      <c r="C940" s="117">
        <v>90</v>
      </c>
      <c r="D940" s="108"/>
      <c r="E940" s="25"/>
      <c r="F940" s="25"/>
      <c r="G940" s="112" t="s">
        <v>464</v>
      </c>
      <c r="H940" s="112">
        <v>305.56</v>
      </c>
      <c r="I940" s="112">
        <v>1</v>
      </c>
      <c r="J940" s="112">
        <v>1</v>
      </c>
      <c r="K940" s="112">
        <v>1</v>
      </c>
      <c r="L940" s="110">
        <f t="shared" si="59"/>
        <v>305.56</v>
      </c>
      <c r="M940" s="111"/>
      <c r="N940" s="111"/>
    </row>
    <row r="941" spans="2:14" ht="15.75">
      <c r="B941" s="106">
        <v>905</v>
      </c>
      <c r="C941" s="117">
        <v>90</v>
      </c>
      <c r="D941" s="108"/>
      <c r="E941" s="25"/>
      <c r="F941" s="25"/>
      <c r="G941" s="112" t="s">
        <v>465</v>
      </c>
      <c r="H941" s="112">
        <v>166.67</v>
      </c>
      <c r="I941" s="112">
        <v>1</v>
      </c>
      <c r="J941" s="112">
        <v>1</v>
      </c>
      <c r="K941" s="112">
        <v>1</v>
      </c>
      <c r="L941" s="110">
        <f t="shared" si="59"/>
        <v>166.67</v>
      </c>
      <c r="M941" s="111"/>
      <c r="N941" s="111"/>
    </row>
    <row r="942" spans="2:14" ht="15.75">
      <c r="B942" s="106">
        <v>906</v>
      </c>
      <c r="C942" s="117">
        <v>90</v>
      </c>
      <c r="D942" s="108"/>
      <c r="E942" s="25"/>
      <c r="F942" s="25"/>
      <c r="G942" s="112" t="s">
        <v>447</v>
      </c>
      <c r="H942" s="112">
        <v>1.19</v>
      </c>
      <c r="I942" s="112">
        <v>10</v>
      </c>
      <c r="J942" s="112">
        <v>1</v>
      </c>
      <c r="K942" s="112">
        <v>5</v>
      </c>
      <c r="L942" s="110">
        <f t="shared" si="59"/>
        <v>59.499999999999993</v>
      </c>
      <c r="M942" s="111"/>
      <c r="N942" s="111"/>
    </row>
    <row r="943" spans="2:14" ht="15.75">
      <c r="B943" s="106">
        <v>907</v>
      </c>
      <c r="C943" s="117">
        <v>90</v>
      </c>
      <c r="D943" s="108"/>
      <c r="E943" s="25"/>
      <c r="F943" s="25"/>
      <c r="G943" s="112" t="s">
        <v>459</v>
      </c>
      <c r="H943" s="112">
        <v>16.670000000000002</v>
      </c>
      <c r="I943" s="112">
        <v>1</v>
      </c>
      <c r="J943" s="112">
        <v>1</v>
      </c>
      <c r="K943" s="112">
        <v>1</v>
      </c>
      <c r="L943" s="110">
        <f t="shared" si="59"/>
        <v>16.670000000000002</v>
      </c>
      <c r="M943" s="111"/>
      <c r="N943" s="111"/>
    </row>
    <row r="944" spans="2:14" s="138" customFormat="1" ht="60">
      <c r="B944" s="126">
        <v>908</v>
      </c>
      <c r="C944" s="127">
        <v>91</v>
      </c>
      <c r="D944" s="135" t="s">
        <v>81</v>
      </c>
      <c r="E944" s="129" t="s">
        <v>808</v>
      </c>
      <c r="F944" s="136" t="s">
        <v>809</v>
      </c>
      <c r="G944" s="131" t="s">
        <v>80</v>
      </c>
      <c r="H944" s="137" t="s">
        <v>671</v>
      </c>
      <c r="I944" s="131"/>
      <c r="J944" s="131"/>
      <c r="K944" s="131"/>
      <c r="L944" s="139">
        <f>SUM(L945:L959)</f>
        <v>9806.06</v>
      </c>
      <c r="M944" s="133">
        <v>19612.11</v>
      </c>
      <c r="N944" s="134">
        <v>19612.12</v>
      </c>
    </row>
    <row r="945" spans="2:14" ht="15.75">
      <c r="B945" s="106">
        <v>909</v>
      </c>
      <c r="C945" s="117">
        <v>91</v>
      </c>
      <c r="D945" s="108"/>
      <c r="E945" s="25"/>
      <c r="F945" s="25"/>
      <c r="G945" s="112" t="s">
        <v>453</v>
      </c>
      <c r="H945" s="112">
        <v>25</v>
      </c>
      <c r="I945" s="110">
        <v>2</v>
      </c>
      <c r="J945" s="110">
        <v>1</v>
      </c>
      <c r="K945" s="112">
        <v>5</v>
      </c>
      <c r="L945" s="110">
        <f>H945*I945*J945*K945</f>
        <v>250</v>
      </c>
      <c r="M945" s="111"/>
      <c r="N945" s="111"/>
    </row>
    <row r="946" spans="2:14" ht="15.75">
      <c r="B946" s="106">
        <v>910</v>
      </c>
      <c r="C946" s="117">
        <v>91</v>
      </c>
      <c r="D946" s="108"/>
      <c r="E946" s="25"/>
      <c r="F946" s="25"/>
      <c r="G946" s="112" t="s">
        <v>462</v>
      </c>
      <c r="H946" s="112">
        <v>25</v>
      </c>
      <c r="I946" s="110">
        <v>1</v>
      </c>
      <c r="J946" s="110">
        <v>1</v>
      </c>
      <c r="K946" s="112">
        <v>5</v>
      </c>
      <c r="L946" s="110">
        <f t="shared" ref="L946:L959" si="60">H946*I946*J946*K946</f>
        <v>125</v>
      </c>
      <c r="M946" s="111"/>
      <c r="N946" s="111"/>
    </row>
    <row r="947" spans="2:14" ht="15.75">
      <c r="B947" s="106">
        <v>911</v>
      </c>
      <c r="C947" s="117">
        <v>91</v>
      </c>
      <c r="D947" s="108"/>
      <c r="E947" s="25"/>
      <c r="F947" s="25"/>
      <c r="G947" s="112" t="s">
        <v>429</v>
      </c>
      <c r="H947" s="112">
        <v>4</v>
      </c>
      <c r="I947" s="110">
        <v>54</v>
      </c>
      <c r="J947" s="110">
        <v>1</v>
      </c>
      <c r="K947" s="112">
        <v>5</v>
      </c>
      <c r="L947" s="110">
        <f t="shared" si="60"/>
        <v>1080</v>
      </c>
      <c r="M947" s="111"/>
      <c r="N947" s="111"/>
    </row>
    <row r="948" spans="2:14" ht="15.75">
      <c r="B948" s="106">
        <v>912</v>
      </c>
      <c r="C948" s="117">
        <v>91</v>
      </c>
      <c r="D948" s="108"/>
      <c r="E948" s="25"/>
      <c r="F948" s="25"/>
      <c r="G948" s="112" t="s">
        <v>430</v>
      </c>
      <c r="H948" s="112">
        <v>8</v>
      </c>
      <c r="I948" s="110">
        <v>54</v>
      </c>
      <c r="J948" s="110">
        <v>1</v>
      </c>
      <c r="K948" s="112">
        <v>5</v>
      </c>
      <c r="L948" s="110">
        <f t="shared" si="60"/>
        <v>2160</v>
      </c>
      <c r="M948" s="111"/>
      <c r="N948" s="111"/>
    </row>
    <row r="949" spans="2:14" ht="24">
      <c r="B949" s="106">
        <v>913</v>
      </c>
      <c r="C949" s="117">
        <v>91</v>
      </c>
      <c r="D949" s="108"/>
      <c r="E949" s="25"/>
      <c r="F949" s="25"/>
      <c r="G949" s="112" t="s">
        <v>431</v>
      </c>
      <c r="H949" s="112">
        <v>10</v>
      </c>
      <c r="I949" s="110">
        <v>50</v>
      </c>
      <c r="J949" s="110">
        <v>1</v>
      </c>
      <c r="K949" s="112">
        <v>5</v>
      </c>
      <c r="L949" s="110">
        <f t="shared" si="60"/>
        <v>2500</v>
      </c>
      <c r="M949" s="111"/>
      <c r="N949" s="111"/>
    </row>
    <row r="950" spans="2:14" ht="15.75">
      <c r="B950" s="106">
        <v>914</v>
      </c>
      <c r="C950" s="117">
        <v>91</v>
      </c>
      <c r="D950" s="108"/>
      <c r="E950" s="25"/>
      <c r="F950" s="25"/>
      <c r="G950" s="112" t="s">
        <v>432</v>
      </c>
      <c r="H950" s="112">
        <v>8</v>
      </c>
      <c r="I950" s="110">
        <v>1</v>
      </c>
      <c r="J950" s="110">
        <v>1</v>
      </c>
      <c r="K950" s="112">
        <v>5</v>
      </c>
      <c r="L950" s="110">
        <f t="shared" si="60"/>
        <v>40</v>
      </c>
      <c r="M950" s="111"/>
      <c r="N950" s="111"/>
    </row>
    <row r="951" spans="2:14" ht="15.75">
      <c r="B951" s="106">
        <v>915</v>
      </c>
      <c r="C951" s="117">
        <v>91</v>
      </c>
      <c r="D951" s="108"/>
      <c r="E951" s="25"/>
      <c r="F951" s="25"/>
      <c r="G951" s="112" t="s">
        <v>463</v>
      </c>
      <c r="H951" s="112">
        <v>119</v>
      </c>
      <c r="I951" s="110">
        <v>2</v>
      </c>
      <c r="J951" s="110">
        <v>1</v>
      </c>
      <c r="K951" s="112">
        <v>7</v>
      </c>
      <c r="L951" s="110">
        <f t="shared" si="60"/>
        <v>1666</v>
      </c>
      <c r="M951" s="111"/>
      <c r="N951" s="111"/>
    </row>
    <row r="952" spans="2:14" ht="15.75">
      <c r="B952" s="106">
        <v>916</v>
      </c>
      <c r="C952" s="117">
        <v>91</v>
      </c>
      <c r="D952" s="108"/>
      <c r="E952" s="25"/>
      <c r="F952" s="25"/>
      <c r="G952" s="112" t="s">
        <v>434</v>
      </c>
      <c r="H952" s="112">
        <v>10</v>
      </c>
      <c r="I952" s="110">
        <v>50</v>
      </c>
      <c r="J952" s="110">
        <v>1</v>
      </c>
      <c r="K952" s="112">
        <v>1</v>
      </c>
      <c r="L952" s="110">
        <f t="shared" si="60"/>
        <v>500</v>
      </c>
      <c r="M952" s="111"/>
      <c r="N952" s="111"/>
    </row>
    <row r="953" spans="2:14" ht="15.75">
      <c r="B953" s="106">
        <v>917</v>
      </c>
      <c r="C953" s="117">
        <v>91</v>
      </c>
      <c r="D953" s="108"/>
      <c r="E953" s="25"/>
      <c r="F953" s="25"/>
      <c r="G953" s="112" t="s">
        <v>455</v>
      </c>
      <c r="H953" s="112">
        <v>260</v>
      </c>
      <c r="I953" s="110">
        <v>2</v>
      </c>
      <c r="J953" s="110">
        <v>1</v>
      </c>
      <c r="K953" s="112">
        <v>1</v>
      </c>
      <c r="L953" s="110">
        <f t="shared" si="60"/>
        <v>520</v>
      </c>
      <c r="M953" s="111"/>
      <c r="N953" s="111"/>
    </row>
    <row r="954" spans="2:14" ht="15.75">
      <c r="B954" s="106">
        <v>918</v>
      </c>
      <c r="C954" s="117">
        <v>91</v>
      </c>
      <c r="D954" s="108"/>
      <c r="E954" s="25"/>
      <c r="F954" s="25"/>
      <c r="G954" s="112" t="s">
        <v>435</v>
      </c>
      <c r="H954" s="112">
        <v>70</v>
      </c>
      <c r="I954" s="110">
        <v>1</v>
      </c>
      <c r="J954" s="110">
        <v>1</v>
      </c>
      <c r="K954" s="112">
        <v>5</v>
      </c>
      <c r="L954" s="110">
        <f t="shared" si="60"/>
        <v>350</v>
      </c>
      <c r="M954" s="111"/>
      <c r="N954" s="111"/>
    </row>
    <row r="955" spans="2:14" ht="15.75">
      <c r="B955" s="106">
        <v>919</v>
      </c>
      <c r="C955" s="117">
        <v>91</v>
      </c>
      <c r="D955" s="108"/>
      <c r="E955" s="25"/>
      <c r="F955" s="25"/>
      <c r="G955" s="112" t="s">
        <v>443</v>
      </c>
      <c r="H955" s="112">
        <v>8.33</v>
      </c>
      <c r="I955" s="110">
        <v>6</v>
      </c>
      <c r="J955" s="110">
        <v>1</v>
      </c>
      <c r="K955" s="112">
        <v>1</v>
      </c>
      <c r="L955" s="110">
        <f t="shared" si="60"/>
        <v>49.980000000000004</v>
      </c>
      <c r="M955" s="111"/>
      <c r="N955" s="111"/>
    </row>
    <row r="956" spans="2:14" ht="15.75">
      <c r="B956" s="106">
        <v>920</v>
      </c>
      <c r="C956" s="117">
        <v>91</v>
      </c>
      <c r="D956" s="108"/>
      <c r="E956" s="25"/>
      <c r="F956" s="25"/>
      <c r="G956" s="112" t="s">
        <v>464</v>
      </c>
      <c r="H956" s="112">
        <v>305.57</v>
      </c>
      <c r="I956" s="112">
        <v>1</v>
      </c>
      <c r="J956" s="112">
        <v>1</v>
      </c>
      <c r="K956" s="112">
        <v>1</v>
      </c>
      <c r="L956" s="110">
        <f t="shared" si="60"/>
        <v>305.57</v>
      </c>
      <c r="M956" s="111"/>
      <c r="N956" s="111"/>
    </row>
    <row r="957" spans="2:14" ht="15.75">
      <c r="B957" s="106">
        <v>921</v>
      </c>
      <c r="C957" s="117">
        <v>91</v>
      </c>
      <c r="D957" s="108"/>
      <c r="E957" s="25"/>
      <c r="F957" s="25"/>
      <c r="G957" s="112" t="s">
        <v>465</v>
      </c>
      <c r="H957" s="112">
        <v>166.67</v>
      </c>
      <c r="I957" s="112">
        <v>1</v>
      </c>
      <c r="J957" s="112">
        <v>1</v>
      </c>
      <c r="K957" s="112">
        <v>1</v>
      </c>
      <c r="L957" s="110">
        <f t="shared" si="60"/>
        <v>166.67</v>
      </c>
      <c r="M957" s="111"/>
      <c r="N957" s="111"/>
    </row>
    <row r="958" spans="2:14" ht="15.75">
      <c r="B958" s="106">
        <v>922</v>
      </c>
      <c r="C958" s="117">
        <v>91</v>
      </c>
      <c r="D958" s="108"/>
      <c r="E958" s="25"/>
      <c r="F958" s="25"/>
      <c r="G958" s="112" t="s">
        <v>447</v>
      </c>
      <c r="H958" s="112">
        <v>1.19</v>
      </c>
      <c r="I958" s="112">
        <v>10</v>
      </c>
      <c r="J958" s="112">
        <v>1</v>
      </c>
      <c r="K958" s="112">
        <v>5</v>
      </c>
      <c r="L958" s="110">
        <f t="shared" si="60"/>
        <v>59.499999999999993</v>
      </c>
      <c r="M958" s="111"/>
      <c r="N958" s="111"/>
    </row>
    <row r="959" spans="2:14" ht="15.75">
      <c r="B959" s="106">
        <v>923</v>
      </c>
      <c r="C959" s="117">
        <v>91</v>
      </c>
      <c r="D959" s="108"/>
      <c r="E959" s="25"/>
      <c r="F959" s="25"/>
      <c r="G959" s="112" t="s">
        <v>459</v>
      </c>
      <c r="H959" s="112">
        <v>16.670000000000002</v>
      </c>
      <c r="I959" s="112">
        <v>2</v>
      </c>
      <c r="J959" s="112">
        <v>1</v>
      </c>
      <c r="K959" s="112">
        <v>1</v>
      </c>
      <c r="L959" s="110">
        <f t="shared" si="60"/>
        <v>33.340000000000003</v>
      </c>
      <c r="M959" s="111"/>
      <c r="N959" s="111"/>
    </row>
    <row r="960" spans="2:14" s="138" customFormat="1" ht="38.25">
      <c r="B960" s="126">
        <v>924</v>
      </c>
      <c r="C960" s="127">
        <v>92</v>
      </c>
      <c r="D960" s="135" t="s">
        <v>79</v>
      </c>
      <c r="E960" s="129" t="s">
        <v>78</v>
      </c>
      <c r="F960" s="136" t="s">
        <v>810</v>
      </c>
      <c r="G960" s="131" t="s">
        <v>78</v>
      </c>
      <c r="H960" s="137" t="s">
        <v>671</v>
      </c>
      <c r="I960" s="131"/>
      <c r="J960" s="131"/>
      <c r="K960" s="131"/>
      <c r="L960" s="139">
        <f>SUM(L961:L965)</f>
        <v>10000</v>
      </c>
      <c r="M960" s="133">
        <v>12500</v>
      </c>
      <c r="N960" s="134">
        <v>7500</v>
      </c>
    </row>
    <row r="961" spans="2:14" ht="15.75">
      <c r="B961" s="106">
        <v>925</v>
      </c>
      <c r="C961" s="117">
        <v>92</v>
      </c>
      <c r="D961" s="108"/>
      <c r="E961" s="25"/>
      <c r="F961" s="25"/>
      <c r="G961" s="112" t="s">
        <v>466</v>
      </c>
      <c r="H961" s="112">
        <v>2500</v>
      </c>
      <c r="I961" s="112">
        <v>1</v>
      </c>
      <c r="J961" s="112">
        <v>0</v>
      </c>
      <c r="K961" s="112">
        <v>1</v>
      </c>
      <c r="L961" s="164">
        <f>H961*I961*J961*K961</f>
        <v>0</v>
      </c>
      <c r="M961" s="111"/>
      <c r="N961" s="111"/>
    </row>
    <row r="962" spans="2:14" ht="15.75">
      <c r="B962" s="106">
        <v>926</v>
      </c>
      <c r="C962" s="117">
        <v>92</v>
      </c>
      <c r="D962" s="108"/>
      <c r="E962" s="25"/>
      <c r="F962" s="25"/>
      <c r="G962" s="112" t="s">
        <v>467</v>
      </c>
      <c r="H962" s="112">
        <v>2500</v>
      </c>
      <c r="I962" s="112">
        <v>1</v>
      </c>
      <c r="J962" s="112">
        <v>1</v>
      </c>
      <c r="K962" s="112">
        <v>1</v>
      </c>
      <c r="L962" s="164">
        <f t="shared" ref="L962:L965" si="61">H962*I962*J962*K962</f>
        <v>2500</v>
      </c>
      <c r="M962" s="111"/>
      <c r="N962" s="111"/>
    </row>
    <row r="963" spans="2:14" ht="15.75">
      <c r="B963" s="106">
        <v>927</v>
      </c>
      <c r="C963" s="117">
        <v>92</v>
      </c>
      <c r="D963" s="108"/>
      <c r="E963" s="25"/>
      <c r="F963" s="25"/>
      <c r="G963" s="112" t="s">
        <v>468</v>
      </c>
      <c r="H963" s="112">
        <v>2500</v>
      </c>
      <c r="I963" s="112">
        <v>1</v>
      </c>
      <c r="J963" s="112">
        <v>1</v>
      </c>
      <c r="K963" s="112">
        <v>1</v>
      </c>
      <c r="L963" s="164">
        <f t="shared" si="61"/>
        <v>2500</v>
      </c>
      <c r="M963" s="111"/>
      <c r="N963" s="111"/>
    </row>
    <row r="964" spans="2:14" ht="15.75">
      <c r="B964" s="106">
        <v>928</v>
      </c>
      <c r="C964" s="117">
        <v>92</v>
      </c>
      <c r="D964" s="108"/>
      <c r="E964" s="25"/>
      <c r="F964" s="25"/>
      <c r="G964" s="112" t="s">
        <v>469</v>
      </c>
      <c r="H964" s="112">
        <v>2500</v>
      </c>
      <c r="I964" s="112">
        <v>1</v>
      </c>
      <c r="J964" s="112">
        <v>1</v>
      </c>
      <c r="K964" s="112">
        <v>1</v>
      </c>
      <c r="L964" s="164">
        <f t="shared" si="61"/>
        <v>2500</v>
      </c>
      <c r="M964" s="111"/>
      <c r="N964" s="111"/>
    </row>
    <row r="965" spans="2:14" ht="15.75">
      <c r="B965" s="106">
        <v>929</v>
      </c>
      <c r="C965" s="117">
        <v>92</v>
      </c>
      <c r="D965" s="108"/>
      <c r="E965" s="25"/>
      <c r="F965" s="25"/>
      <c r="G965" s="112" t="s">
        <v>470</v>
      </c>
      <c r="H965" s="112">
        <v>2500</v>
      </c>
      <c r="I965" s="112">
        <v>1</v>
      </c>
      <c r="J965" s="112">
        <v>1</v>
      </c>
      <c r="K965" s="112">
        <v>1</v>
      </c>
      <c r="L965" s="164">
        <f t="shared" si="61"/>
        <v>2500</v>
      </c>
      <c r="M965" s="111"/>
      <c r="N965" s="111"/>
    </row>
    <row r="966" spans="2:14" s="138" customFormat="1" ht="51">
      <c r="B966" s="126">
        <v>930</v>
      </c>
      <c r="C966" s="127">
        <v>93</v>
      </c>
      <c r="D966" s="135" t="s">
        <v>76</v>
      </c>
      <c r="E966" s="129" t="s">
        <v>75</v>
      </c>
      <c r="F966" s="136" t="s">
        <v>811</v>
      </c>
      <c r="G966" s="131" t="s">
        <v>571</v>
      </c>
      <c r="H966" s="137" t="s">
        <v>671</v>
      </c>
      <c r="I966" s="131"/>
      <c r="J966" s="131"/>
      <c r="K966" s="131"/>
      <c r="L966" s="139">
        <f>SUM(L967)</f>
        <v>0</v>
      </c>
      <c r="M966" s="133">
        <v>0</v>
      </c>
      <c r="N966" s="134">
        <v>0</v>
      </c>
    </row>
    <row r="967" spans="2:14" ht="15.75">
      <c r="B967" s="106">
        <v>931</v>
      </c>
      <c r="C967" s="117">
        <v>93</v>
      </c>
      <c r="D967" s="108"/>
      <c r="E967" s="25"/>
      <c r="F967" s="25"/>
      <c r="G967" s="112"/>
      <c r="H967" s="112">
        <v>1</v>
      </c>
      <c r="I967" s="112">
        <v>0</v>
      </c>
      <c r="J967" s="112">
        <v>1</v>
      </c>
      <c r="K967" s="112">
        <v>1</v>
      </c>
      <c r="L967" s="104">
        <f>H967*I967*J967*K967</f>
        <v>0</v>
      </c>
      <c r="M967" s="111"/>
      <c r="N967" s="111"/>
    </row>
    <row r="968" spans="2:14" s="138" customFormat="1" ht="51">
      <c r="B968" s="126">
        <v>932</v>
      </c>
      <c r="C968" s="127">
        <v>94</v>
      </c>
      <c r="D968" s="135" t="s">
        <v>74</v>
      </c>
      <c r="E968" s="129" t="s">
        <v>812</v>
      </c>
      <c r="F968" s="130" t="s">
        <v>813</v>
      </c>
      <c r="G968" s="131" t="s">
        <v>572</v>
      </c>
      <c r="H968" s="137" t="s">
        <v>671</v>
      </c>
      <c r="I968" s="131"/>
      <c r="J968" s="131"/>
      <c r="K968" s="131"/>
      <c r="L968" s="139">
        <f>SUM(L969:L995)</f>
        <v>9921.6575000000012</v>
      </c>
      <c r="M968" s="133">
        <v>9921.66</v>
      </c>
      <c r="N968" s="134">
        <v>9921.66</v>
      </c>
    </row>
    <row r="969" spans="2:14" ht="15.75">
      <c r="B969" s="106">
        <v>933</v>
      </c>
      <c r="C969" s="117">
        <v>94</v>
      </c>
      <c r="D969" s="108"/>
      <c r="E969" s="25"/>
      <c r="F969" s="25"/>
      <c r="G969" s="110" t="s">
        <v>424</v>
      </c>
      <c r="H969" s="112" t="s">
        <v>671</v>
      </c>
      <c r="I969" s="110"/>
      <c r="J969" s="110"/>
      <c r="K969" s="110"/>
      <c r="L969" s="104"/>
      <c r="M969" s="111"/>
      <c r="N969" s="111"/>
    </row>
    <row r="970" spans="2:14" ht="15.75">
      <c r="B970" s="106">
        <v>934</v>
      </c>
      <c r="C970" s="117">
        <v>94</v>
      </c>
      <c r="D970" s="108"/>
      <c r="E970" s="25"/>
      <c r="F970" s="25"/>
      <c r="G970" s="110" t="s">
        <v>425</v>
      </c>
      <c r="H970" s="112">
        <v>2500</v>
      </c>
      <c r="I970" s="110">
        <v>1</v>
      </c>
      <c r="J970" s="110">
        <v>1</v>
      </c>
      <c r="K970" s="110">
        <v>1</v>
      </c>
      <c r="L970" s="104">
        <f t="shared" ref="L970:L995" si="62">H970*I970*J970*K970</f>
        <v>2500</v>
      </c>
      <c r="M970" s="111"/>
      <c r="N970" s="111"/>
    </row>
    <row r="971" spans="2:14" ht="15.75">
      <c r="B971" s="106">
        <v>935</v>
      </c>
      <c r="C971" s="117">
        <v>94</v>
      </c>
      <c r="D971" s="108"/>
      <c r="E971" s="25"/>
      <c r="F971" s="25"/>
      <c r="G971" s="112" t="s">
        <v>426</v>
      </c>
      <c r="H971" s="112">
        <v>38</v>
      </c>
      <c r="I971" s="110">
        <v>1</v>
      </c>
      <c r="J971" s="110">
        <v>4</v>
      </c>
      <c r="K971" s="110">
        <v>1</v>
      </c>
      <c r="L971" s="104">
        <f t="shared" si="62"/>
        <v>152</v>
      </c>
      <c r="M971" s="111"/>
      <c r="N971" s="111"/>
    </row>
    <row r="972" spans="2:14" ht="15.75">
      <c r="B972" s="106">
        <v>936</v>
      </c>
      <c r="C972" s="117">
        <v>94</v>
      </c>
      <c r="D972" s="108"/>
      <c r="E972" s="25"/>
      <c r="F972" s="25"/>
      <c r="G972" s="112" t="s">
        <v>427</v>
      </c>
      <c r="H972" s="112">
        <v>173</v>
      </c>
      <c r="I972" s="110">
        <v>1</v>
      </c>
      <c r="J972" s="110">
        <v>1</v>
      </c>
      <c r="K972" s="110">
        <v>7</v>
      </c>
      <c r="L972" s="104">
        <f t="shared" si="62"/>
        <v>1211</v>
      </c>
      <c r="M972" s="111"/>
      <c r="N972" s="111"/>
    </row>
    <row r="973" spans="2:14" ht="15.75">
      <c r="B973" s="106">
        <v>937</v>
      </c>
      <c r="C973" s="117">
        <v>94</v>
      </c>
      <c r="D973" s="108"/>
      <c r="E973" s="25"/>
      <c r="F973" s="25"/>
      <c r="G973" s="112" t="s">
        <v>428</v>
      </c>
      <c r="H973" s="112">
        <v>600</v>
      </c>
      <c r="I973" s="110">
        <v>1</v>
      </c>
      <c r="J973" s="110">
        <v>1</v>
      </c>
      <c r="K973" s="110">
        <v>1</v>
      </c>
      <c r="L973" s="104">
        <f t="shared" si="62"/>
        <v>600</v>
      </c>
      <c r="M973" s="111"/>
      <c r="N973" s="111"/>
    </row>
    <row r="974" spans="2:14" ht="15.75">
      <c r="B974" s="106">
        <v>938</v>
      </c>
      <c r="C974" s="117">
        <v>94</v>
      </c>
      <c r="D974" s="108"/>
      <c r="E974" s="25"/>
      <c r="F974" s="25"/>
      <c r="G974" s="110" t="s">
        <v>541</v>
      </c>
      <c r="H974" s="112" t="s">
        <v>671</v>
      </c>
      <c r="I974" s="110"/>
      <c r="J974" s="110"/>
      <c r="K974" s="110"/>
      <c r="L974" s="104"/>
      <c r="M974" s="111"/>
      <c r="N974" s="111"/>
    </row>
    <row r="975" spans="2:14" ht="15.75">
      <c r="B975" s="106">
        <v>939</v>
      </c>
      <c r="C975" s="117">
        <v>94</v>
      </c>
      <c r="D975" s="108"/>
      <c r="E975" s="25"/>
      <c r="F975" s="25"/>
      <c r="G975" s="112" t="s">
        <v>429</v>
      </c>
      <c r="H975" s="112">
        <v>4</v>
      </c>
      <c r="I975" s="110">
        <v>28</v>
      </c>
      <c r="J975" s="110">
        <v>1</v>
      </c>
      <c r="K975" s="110">
        <v>5</v>
      </c>
      <c r="L975" s="104">
        <f t="shared" si="62"/>
        <v>560</v>
      </c>
      <c r="M975" s="111"/>
      <c r="N975" s="111"/>
    </row>
    <row r="976" spans="2:14" ht="15.75">
      <c r="B976" s="106">
        <v>940</v>
      </c>
      <c r="C976" s="117">
        <v>94</v>
      </c>
      <c r="D976" s="108"/>
      <c r="E976" s="25"/>
      <c r="F976" s="25"/>
      <c r="G976" s="112" t="s">
        <v>430</v>
      </c>
      <c r="H976" s="112">
        <v>8</v>
      </c>
      <c r="I976" s="110">
        <v>28</v>
      </c>
      <c r="J976" s="110">
        <v>1</v>
      </c>
      <c r="K976" s="110">
        <v>5</v>
      </c>
      <c r="L976" s="104">
        <f t="shared" si="62"/>
        <v>1120</v>
      </c>
      <c r="M976" s="111"/>
      <c r="N976" s="111"/>
    </row>
    <row r="977" spans="2:14" ht="24">
      <c r="B977" s="106">
        <v>941</v>
      </c>
      <c r="C977" s="117">
        <v>94</v>
      </c>
      <c r="D977" s="108"/>
      <c r="E977" s="25"/>
      <c r="F977" s="25"/>
      <c r="G977" s="112" t="s">
        <v>431</v>
      </c>
      <c r="H977" s="112">
        <v>10</v>
      </c>
      <c r="I977" s="110">
        <v>25</v>
      </c>
      <c r="J977" s="110">
        <v>1</v>
      </c>
      <c r="K977" s="110">
        <v>5</v>
      </c>
      <c r="L977" s="104">
        <f t="shared" si="62"/>
        <v>1250</v>
      </c>
      <c r="M977" s="111"/>
      <c r="N977" s="111"/>
    </row>
    <row r="978" spans="2:14" ht="15.75">
      <c r="B978" s="106">
        <v>942</v>
      </c>
      <c r="C978" s="117">
        <v>94</v>
      </c>
      <c r="D978" s="108"/>
      <c r="E978" s="25"/>
      <c r="F978" s="25"/>
      <c r="G978" s="112" t="s">
        <v>432</v>
      </c>
      <c r="H978" s="112">
        <v>8</v>
      </c>
      <c r="I978" s="110">
        <v>1</v>
      </c>
      <c r="J978" s="110">
        <v>1</v>
      </c>
      <c r="K978" s="110">
        <v>5</v>
      </c>
      <c r="L978" s="104">
        <f t="shared" si="62"/>
        <v>40</v>
      </c>
      <c r="M978" s="111"/>
      <c r="N978" s="111"/>
    </row>
    <row r="979" spans="2:14" ht="15.75">
      <c r="B979" s="106">
        <v>943</v>
      </c>
      <c r="C979" s="117">
        <v>94</v>
      </c>
      <c r="D979" s="108"/>
      <c r="E979" s="25"/>
      <c r="F979" s="25"/>
      <c r="G979" s="112" t="s">
        <v>433</v>
      </c>
      <c r="H979" s="112">
        <v>10</v>
      </c>
      <c r="I979" s="110">
        <v>1</v>
      </c>
      <c r="J979" s="110">
        <v>1</v>
      </c>
      <c r="K979" s="110">
        <v>5</v>
      </c>
      <c r="L979" s="104">
        <f t="shared" si="62"/>
        <v>50</v>
      </c>
      <c r="M979" s="111"/>
      <c r="N979" s="111"/>
    </row>
    <row r="980" spans="2:14" ht="15.75">
      <c r="B980" s="106">
        <v>944</v>
      </c>
      <c r="C980" s="117">
        <v>94</v>
      </c>
      <c r="D980" s="108"/>
      <c r="E980" s="25"/>
      <c r="F980" s="25"/>
      <c r="G980" s="112" t="s">
        <v>434</v>
      </c>
      <c r="H980" s="112">
        <v>10</v>
      </c>
      <c r="I980" s="110">
        <v>25</v>
      </c>
      <c r="J980" s="110">
        <v>1</v>
      </c>
      <c r="K980" s="110">
        <v>1</v>
      </c>
      <c r="L980" s="104">
        <f t="shared" si="62"/>
        <v>250</v>
      </c>
      <c r="M980" s="111"/>
      <c r="N980" s="111"/>
    </row>
    <row r="981" spans="2:14" ht="15.75">
      <c r="B981" s="106">
        <v>945</v>
      </c>
      <c r="C981" s="117">
        <v>94</v>
      </c>
      <c r="D981" s="108"/>
      <c r="E981" s="25"/>
      <c r="F981" s="25"/>
      <c r="G981" s="112" t="s">
        <v>435</v>
      </c>
      <c r="H981" s="167">
        <f>70+(0.04/5)</f>
        <v>70.007999999999996</v>
      </c>
      <c r="I981" s="110">
        <v>1</v>
      </c>
      <c r="J981" s="110">
        <v>1</v>
      </c>
      <c r="K981" s="110">
        <v>5</v>
      </c>
      <c r="L981" s="104">
        <f t="shared" si="62"/>
        <v>350.03999999999996</v>
      </c>
      <c r="M981" s="111"/>
      <c r="N981" s="111"/>
    </row>
    <row r="982" spans="2:14" ht="15.75">
      <c r="B982" s="106">
        <v>946</v>
      </c>
      <c r="C982" s="117">
        <v>94</v>
      </c>
      <c r="D982" s="108"/>
      <c r="E982" s="25"/>
      <c r="F982" s="25"/>
      <c r="G982" s="112" t="s">
        <v>436</v>
      </c>
      <c r="H982" s="112">
        <v>0.88</v>
      </c>
      <c r="I982" s="110">
        <v>1</v>
      </c>
      <c r="J982" s="110">
        <v>1</v>
      </c>
      <c r="K982" s="110">
        <v>1</v>
      </c>
      <c r="L982" s="104">
        <f t="shared" si="62"/>
        <v>0.88</v>
      </c>
      <c r="M982" s="111"/>
      <c r="N982" s="111"/>
    </row>
    <row r="983" spans="2:14" ht="15.75">
      <c r="B983" s="106">
        <v>947</v>
      </c>
      <c r="C983" s="117">
        <v>94</v>
      </c>
      <c r="D983" s="108"/>
      <c r="E983" s="25"/>
      <c r="F983" s="25"/>
      <c r="G983" s="112" t="s">
        <v>437</v>
      </c>
      <c r="H983" s="112">
        <v>23.48</v>
      </c>
      <c r="I983" s="110">
        <v>1</v>
      </c>
      <c r="J983" s="110">
        <v>1</v>
      </c>
      <c r="K983" s="110">
        <v>1</v>
      </c>
      <c r="L983" s="104">
        <f t="shared" si="62"/>
        <v>23.48</v>
      </c>
      <c r="M983" s="111"/>
      <c r="N983" s="111"/>
    </row>
    <row r="984" spans="2:14" ht="15.75">
      <c r="B984" s="106">
        <v>948</v>
      </c>
      <c r="C984" s="117">
        <v>94</v>
      </c>
      <c r="D984" s="108"/>
      <c r="E984" s="25"/>
      <c r="F984" s="25"/>
      <c r="G984" s="112" t="s">
        <v>438</v>
      </c>
      <c r="H984" s="112">
        <v>0.59</v>
      </c>
      <c r="I984" s="110">
        <v>1</v>
      </c>
      <c r="J984" s="110">
        <v>1</v>
      </c>
      <c r="K984" s="110">
        <v>1</v>
      </c>
      <c r="L984" s="104">
        <f t="shared" si="62"/>
        <v>0.59</v>
      </c>
      <c r="M984" s="111"/>
      <c r="N984" s="111"/>
    </row>
    <row r="985" spans="2:14" ht="15.75">
      <c r="B985" s="106">
        <v>949</v>
      </c>
      <c r="C985" s="117">
        <v>94</v>
      </c>
      <c r="D985" s="108"/>
      <c r="E985" s="25"/>
      <c r="F985" s="25"/>
      <c r="G985" s="112" t="s">
        <v>439</v>
      </c>
      <c r="H985" s="112">
        <v>135</v>
      </c>
      <c r="I985" s="110">
        <v>1</v>
      </c>
      <c r="J985" s="110">
        <v>1</v>
      </c>
      <c r="K985" s="110">
        <v>7</v>
      </c>
      <c r="L985" s="104">
        <f t="shared" si="62"/>
        <v>945</v>
      </c>
      <c r="M985" s="111"/>
      <c r="N985" s="111"/>
    </row>
    <row r="986" spans="2:14" ht="15.75">
      <c r="B986" s="106">
        <v>950</v>
      </c>
      <c r="C986" s="117">
        <v>94</v>
      </c>
      <c r="D986" s="108"/>
      <c r="E986" s="25"/>
      <c r="F986" s="25"/>
      <c r="G986" s="112" t="s">
        <v>440</v>
      </c>
      <c r="H986" s="112">
        <v>260</v>
      </c>
      <c r="I986" s="110">
        <v>1</v>
      </c>
      <c r="J986" s="110">
        <v>1</v>
      </c>
      <c r="K986" s="110">
        <v>1</v>
      </c>
      <c r="L986" s="104">
        <f t="shared" si="62"/>
        <v>260</v>
      </c>
      <c r="M986" s="111"/>
      <c r="N986" s="111"/>
    </row>
    <row r="987" spans="2:14" ht="15.75">
      <c r="B987" s="106">
        <v>951</v>
      </c>
      <c r="C987" s="117">
        <v>94</v>
      </c>
      <c r="D987" s="108"/>
      <c r="E987" s="25"/>
      <c r="F987" s="25"/>
      <c r="G987" s="110" t="s">
        <v>441</v>
      </c>
      <c r="H987" s="112" t="s">
        <v>671</v>
      </c>
      <c r="I987" s="110"/>
      <c r="J987" s="110"/>
      <c r="K987" s="110"/>
      <c r="L987" s="104"/>
      <c r="M987" s="111"/>
      <c r="N987" s="111"/>
    </row>
    <row r="988" spans="2:14" ht="15.75">
      <c r="B988" s="106">
        <v>952</v>
      </c>
      <c r="C988" s="117">
        <v>94</v>
      </c>
      <c r="D988" s="108"/>
      <c r="E988" s="25"/>
      <c r="F988" s="25"/>
      <c r="G988" s="112" t="s">
        <v>442</v>
      </c>
      <c r="H988" s="112">
        <v>6</v>
      </c>
      <c r="I988" s="110">
        <v>35</v>
      </c>
      <c r="J988" s="110">
        <v>1</v>
      </c>
      <c r="K988" s="110">
        <v>1</v>
      </c>
      <c r="L988" s="104">
        <f t="shared" si="62"/>
        <v>210</v>
      </c>
      <c r="M988" s="111"/>
      <c r="N988" s="111"/>
    </row>
    <row r="989" spans="2:14" ht="15.75">
      <c r="B989" s="106">
        <v>953</v>
      </c>
      <c r="C989" s="117">
        <v>94</v>
      </c>
      <c r="D989" s="108"/>
      <c r="E989" s="25"/>
      <c r="F989" s="25"/>
      <c r="G989" s="112" t="s">
        <v>435</v>
      </c>
      <c r="H989" s="112">
        <v>70</v>
      </c>
      <c r="I989" s="110">
        <v>1</v>
      </c>
      <c r="J989" s="110">
        <v>1</v>
      </c>
      <c r="K989" s="110">
        <v>1</v>
      </c>
      <c r="L989" s="104">
        <f t="shared" si="62"/>
        <v>70</v>
      </c>
      <c r="M989" s="111"/>
      <c r="N989" s="111"/>
    </row>
    <row r="990" spans="2:14" ht="15.75">
      <c r="B990" s="106">
        <v>954</v>
      </c>
      <c r="C990" s="117">
        <v>94</v>
      </c>
      <c r="D990" s="108"/>
      <c r="E990" s="25"/>
      <c r="F990" s="25"/>
      <c r="G990" s="112" t="s">
        <v>443</v>
      </c>
      <c r="H990" s="112">
        <v>8.33</v>
      </c>
      <c r="I990" s="112">
        <v>1.75</v>
      </c>
      <c r="J990" s="110">
        <v>1</v>
      </c>
      <c r="K990" s="110">
        <v>1</v>
      </c>
      <c r="L990" s="104">
        <f t="shared" si="62"/>
        <v>14.577500000000001</v>
      </c>
      <c r="M990" s="111"/>
      <c r="N990" s="111"/>
    </row>
    <row r="991" spans="2:14" ht="15.75">
      <c r="B991" s="106">
        <v>955</v>
      </c>
      <c r="C991" s="117">
        <v>94</v>
      </c>
      <c r="D991" s="108"/>
      <c r="E991" s="25"/>
      <c r="F991" s="25"/>
      <c r="G991" s="112" t="s">
        <v>444</v>
      </c>
      <c r="H991" s="112">
        <v>1.1100000000000001</v>
      </c>
      <c r="I991" s="110">
        <v>35</v>
      </c>
      <c r="J991" s="110">
        <v>1</v>
      </c>
      <c r="K991" s="110">
        <v>1</v>
      </c>
      <c r="L991" s="104">
        <f t="shared" si="62"/>
        <v>38.85</v>
      </c>
      <c r="M991" s="111"/>
      <c r="N991" s="111"/>
    </row>
    <row r="992" spans="2:14" ht="15.75">
      <c r="B992" s="106">
        <v>956</v>
      </c>
      <c r="C992" s="117">
        <v>94</v>
      </c>
      <c r="D992" s="108"/>
      <c r="E992" s="25"/>
      <c r="F992" s="25"/>
      <c r="G992" s="112" t="s">
        <v>445</v>
      </c>
      <c r="H992" s="112">
        <v>0.56000000000000005</v>
      </c>
      <c r="I992" s="110">
        <v>70</v>
      </c>
      <c r="J992" s="110">
        <v>1</v>
      </c>
      <c r="K992" s="110">
        <v>1</v>
      </c>
      <c r="L992" s="104">
        <f t="shared" si="62"/>
        <v>39.200000000000003</v>
      </c>
      <c r="M992" s="111"/>
      <c r="N992" s="111"/>
    </row>
    <row r="993" spans="2:14" ht="24">
      <c r="B993" s="106">
        <v>957</v>
      </c>
      <c r="C993" s="117">
        <v>94</v>
      </c>
      <c r="D993" s="108"/>
      <c r="E993" s="25"/>
      <c r="F993" s="25"/>
      <c r="G993" s="112" t="s">
        <v>542</v>
      </c>
      <c r="H993" s="112">
        <v>167</v>
      </c>
      <c r="I993" s="110">
        <v>1</v>
      </c>
      <c r="J993" s="110">
        <v>1</v>
      </c>
      <c r="K993" s="110">
        <v>1</v>
      </c>
      <c r="L993" s="104">
        <f t="shared" si="62"/>
        <v>167</v>
      </c>
      <c r="M993" s="111"/>
      <c r="N993" s="111"/>
    </row>
    <row r="994" spans="2:14" ht="15.75">
      <c r="B994" s="106">
        <v>958</v>
      </c>
      <c r="C994" s="117">
        <v>94</v>
      </c>
      <c r="D994" s="108"/>
      <c r="E994" s="25"/>
      <c r="F994" s="25"/>
      <c r="G994" s="110" t="s">
        <v>446</v>
      </c>
      <c r="H994" s="112">
        <v>16.670000000000002</v>
      </c>
      <c r="I994" s="110">
        <v>2</v>
      </c>
      <c r="J994" s="110">
        <v>1</v>
      </c>
      <c r="K994" s="110">
        <v>1</v>
      </c>
      <c r="L994" s="104">
        <f t="shared" si="62"/>
        <v>33.340000000000003</v>
      </c>
      <c r="M994" s="111"/>
      <c r="N994" s="111"/>
    </row>
    <row r="995" spans="2:14" ht="15.75">
      <c r="B995" s="106">
        <v>959</v>
      </c>
      <c r="C995" s="117">
        <v>94</v>
      </c>
      <c r="D995" s="108"/>
      <c r="E995" s="25"/>
      <c r="F995" s="25"/>
      <c r="G995" s="110" t="s">
        <v>447</v>
      </c>
      <c r="H995" s="112">
        <v>1.19</v>
      </c>
      <c r="I995" s="110">
        <v>10</v>
      </c>
      <c r="J995" s="110">
        <v>1</v>
      </c>
      <c r="K995" s="110">
        <v>3</v>
      </c>
      <c r="L995" s="104">
        <f t="shared" si="62"/>
        <v>35.699999999999996</v>
      </c>
      <c r="M995" s="111"/>
      <c r="N995" s="111"/>
    </row>
    <row r="996" spans="2:14" s="138" customFormat="1" ht="51">
      <c r="B996" s="157">
        <v>9999</v>
      </c>
      <c r="C996" s="158">
        <v>95</v>
      </c>
      <c r="D996" s="135" t="s">
        <v>72</v>
      </c>
      <c r="E996" s="129" t="s">
        <v>848</v>
      </c>
      <c r="F996" s="136" t="s">
        <v>849</v>
      </c>
      <c r="G996" s="132"/>
      <c r="H996" s="159"/>
      <c r="I996" s="159"/>
      <c r="J996" s="159"/>
      <c r="K996" s="159"/>
      <c r="L996" s="169">
        <f>SUM(L997:L999)</f>
        <v>0</v>
      </c>
      <c r="M996" s="133">
        <v>0</v>
      </c>
      <c r="N996" s="134">
        <v>0</v>
      </c>
    </row>
    <row r="997" spans="2:14" ht="15.75">
      <c r="B997" s="106"/>
      <c r="C997" s="117"/>
      <c r="D997" s="108"/>
      <c r="E997" s="25"/>
      <c r="F997" s="25"/>
      <c r="G997" s="112"/>
      <c r="H997" s="112"/>
      <c r="I997" s="110">
        <v>1</v>
      </c>
      <c r="J997" s="110">
        <v>1</v>
      </c>
      <c r="K997" s="110">
        <v>1</v>
      </c>
      <c r="L997" s="104">
        <f t="shared" ref="L997:L1012" si="63">H997*I997*J997*K997</f>
        <v>0</v>
      </c>
      <c r="M997" s="111"/>
      <c r="N997" s="111"/>
    </row>
    <row r="998" spans="2:14" ht="15.75">
      <c r="B998" s="106"/>
      <c r="C998" s="117"/>
      <c r="D998" s="108"/>
      <c r="E998" s="25"/>
      <c r="F998" s="25"/>
      <c r="G998" s="110"/>
      <c r="H998" s="112"/>
      <c r="I998" s="110">
        <v>2</v>
      </c>
      <c r="J998" s="110">
        <v>1</v>
      </c>
      <c r="K998" s="110">
        <v>1</v>
      </c>
      <c r="L998" s="104">
        <f t="shared" si="63"/>
        <v>0</v>
      </c>
      <c r="M998" s="111"/>
      <c r="N998" s="111"/>
    </row>
    <row r="999" spans="2:14" ht="15.75">
      <c r="B999" s="106"/>
      <c r="C999" s="117"/>
      <c r="D999" s="108"/>
      <c r="E999" s="25"/>
      <c r="F999" s="25"/>
      <c r="G999" s="110"/>
      <c r="H999" s="112"/>
      <c r="I999" s="110">
        <v>10</v>
      </c>
      <c r="J999" s="110">
        <v>1</v>
      </c>
      <c r="K999" s="110">
        <v>3</v>
      </c>
      <c r="L999" s="104">
        <f t="shared" si="63"/>
        <v>0</v>
      </c>
      <c r="M999" s="111"/>
      <c r="N999" s="111"/>
    </row>
    <row r="1000" spans="2:14" s="138" customFormat="1" ht="38.25">
      <c r="B1000" s="126">
        <v>960</v>
      </c>
      <c r="C1000" s="127">
        <v>96</v>
      </c>
      <c r="D1000" s="135" t="s">
        <v>70</v>
      </c>
      <c r="E1000" s="129" t="s">
        <v>69</v>
      </c>
      <c r="F1000" s="136" t="s">
        <v>814</v>
      </c>
      <c r="G1000" s="131" t="s">
        <v>69</v>
      </c>
      <c r="H1000" s="137" t="s">
        <v>671</v>
      </c>
      <c r="I1000" s="131"/>
      <c r="J1000" s="131"/>
      <c r="K1000" s="131"/>
      <c r="L1000" s="170">
        <f>SUM(L1001:L1004)</f>
        <v>366.67</v>
      </c>
      <c r="M1000" s="133">
        <v>1833.33</v>
      </c>
      <c r="N1000" s="134">
        <v>1100.01</v>
      </c>
    </row>
    <row r="1001" spans="2:14" ht="15.75">
      <c r="B1001" s="106">
        <v>961</v>
      </c>
      <c r="C1001" s="117">
        <v>96</v>
      </c>
      <c r="D1001" s="108"/>
      <c r="E1001" s="25"/>
      <c r="F1001" s="25"/>
      <c r="G1001" s="112" t="s">
        <v>429</v>
      </c>
      <c r="H1001" s="112">
        <v>4</v>
      </c>
      <c r="I1001" s="110">
        <v>20</v>
      </c>
      <c r="J1001" s="110">
        <v>1</v>
      </c>
      <c r="K1001" s="110">
        <v>1</v>
      </c>
      <c r="L1001" s="104">
        <f t="shared" si="63"/>
        <v>80</v>
      </c>
      <c r="M1001" s="111"/>
      <c r="N1001" s="111"/>
    </row>
    <row r="1002" spans="2:14" ht="15.75">
      <c r="B1002" s="106">
        <v>962</v>
      </c>
      <c r="C1002" s="117">
        <v>96</v>
      </c>
      <c r="D1002" s="108"/>
      <c r="E1002" s="25"/>
      <c r="F1002" s="25"/>
      <c r="G1002" s="112" t="s">
        <v>501</v>
      </c>
      <c r="H1002" s="112">
        <v>10</v>
      </c>
      <c r="I1002" s="110">
        <v>20</v>
      </c>
      <c r="J1002" s="110">
        <v>1</v>
      </c>
      <c r="K1002" s="110">
        <v>1</v>
      </c>
      <c r="L1002" s="104">
        <f t="shared" si="63"/>
        <v>200</v>
      </c>
      <c r="M1002" s="111"/>
      <c r="N1002" s="111"/>
    </row>
    <row r="1003" spans="2:14" ht="15.75">
      <c r="B1003" s="106">
        <v>963</v>
      </c>
      <c r="C1003" s="117">
        <v>96</v>
      </c>
      <c r="D1003" s="108"/>
      <c r="E1003" s="25"/>
      <c r="F1003" s="25"/>
      <c r="G1003" s="112" t="s">
        <v>459</v>
      </c>
      <c r="H1003" s="112">
        <v>16.670000000000002</v>
      </c>
      <c r="I1003" s="110">
        <v>1</v>
      </c>
      <c r="J1003" s="110">
        <v>1</v>
      </c>
      <c r="K1003" s="110">
        <v>1</v>
      </c>
      <c r="L1003" s="104">
        <f t="shared" si="63"/>
        <v>16.670000000000002</v>
      </c>
      <c r="M1003" s="111"/>
      <c r="N1003" s="111"/>
    </row>
    <row r="1004" spans="2:14" ht="15.75">
      <c r="B1004" s="106">
        <v>964</v>
      </c>
      <c r="C1004" s="117">
        <v>96</v>
      </c>
      <c r="D1004" s="108"/>
      <c r="E1004" s="25"/>
      <c r="F1004" s="25"/>
      <c r="G1004" s="112" t="s">
        <v>502</v>
      </c>
      <c r="H1004" s="112">
        <v>70</v>
      </c>
      <c r="I1004" s="110">
        <v>1</v>
      </c>
      <c r="J1004" s="110">
        <v>1</v>
      </c>
      <c r="K1004" s="110">
        <v>1</v>
      </c>
      <c r="L1004" s="104">
        <f t="shared" si="63"/>
        <v>70</v>
      </c>
      <c r="M1004" s="111"/>
      <c r="N1004" s="111"/>
    </row>
    <row r="1005" spans="2:14" s="138" customFormat="1" ht="51">
      <c r="B1005" s="157">
        <v>9999</v>
      </c>
      <c r="C1005" s="158">
        <v>97</v>
      </c>
      <c r="D1005" s="135" t="s">
        <v>68</v>
      </c>
      <c r="E1005" s="129" t="s">
        <v>850</v>
      </c>
      <c r="F1005" s="136"/>
      <c r="G1005" s="132"/>
      <c r="H1005" s="159"/>
      <c r="I1005" s="159"/>
      <c r="J1005" s="159"/>
      <c r="K1005" s="159"/>
      <c r="L1005" s="169">
        <f>SUM(L1006:L1010)</f>
        <v>5710</v>
      </c>
      <c r="M1005" s="133">
        <v>5710</v>
      </c>
      <c r="N1005" s="134">
        <v>3772</v>
      </c>
    </row>
    <row r="1006" spans="2:14" s="180" customFormat="1" ht="15.75">
      <c r="B1006" s="171"/>
      <c r="C1006" s="172"/>
      <c r="D1006" s="173"/>
      <c r="E1006" s="174"/>
      <c r="F1006" s="175"/>
      <c r="G1006" s="176" t="s">
        <v>466</v>
      </c>
      <c r="H1006" s="177">
        <v>1878</v>
      </c>
      <c r="I1006" s="177">
        <v>1</v>
      </c>
      <c r="J1006" s="177">
        <v>1</v>
      </c>
      <c r="K1006" s="177">
        <v>1</v>
      </c>
      <c r="L1006" s="133">
        <f t="shared" si="63"/>
        <v>1878</v>
      </c>
      <c r="M1006" s="178"/>
      <c r="N1006" s="179"/>
    </row>
    <row r="1007" spans="2:14" s="180" customFormat="1" ht="15.75">
      <c r="B1007" s="171"/>
      <c r="C1007" s="172"/>
      <c r="D1007" s="173"/>
      <c r="E1007" s="174"/>
      <c r="F1007" s="175"/>
      <c r="G1007" s="176" t="s">
        <v>467</v>
      </c>
      <c r="H1007" s="177">
        <v>943</v>
      </c>
      <c r="I1007" s="177">
        <v>1</v>
      </c>
      <c r="J1007" s="177">
        <v>1</v>
      </c>
      <c r="K1007" s="177">
        <v>1</v>
      </c>
      <c r="L1007" s="133">
        <f t="shared" si="63"/>
        <v>943</v>
      </c>
      <c r="M1007" s="178"/>
      <c r="N1007" s="179"/>
    </row>
    <row r="1008" spans="2:14" s="180" customFormat="1" ht="15.75">
      <c r="B1008" s="171"/>
      <c r="C1008" s="172"/>
      <c r="D1008" s="173"/>
      <c r="E1008" s="174"/>
      <c r="F1008" s="175"/>
      <c r="G1008" s="176" t="s">
        <v>468</v>
      </c>
      <c r="H1008" s="177">
        <v>951</v>
      </c>
      <c r="I1008" s="177">
        <v>1</v>
      </c>
      <c r="J1008" s="177">
        <v>1</v>
      </c>
      <c r="K1008" s="177">
        <v>1</v>
      </c>
      <c r="L1008" s="133">
        <f t="shared" si="63"/>
        <v>951</v>
      </c>
      <c r="M1008" s="178"/>
      <c r="N1008" s="179"/>
    </row>
    <row r="1009" spans="2:14" s="180" customFormat="1" ht="15.75">
      <c r="B1009" s="171"/>
      <c r="C1009" s="172"/>
      <c r="D1009" s="173"/>
      <c r="E1009" s="174"/>
      <c r="F1009" s="175"/>
      <c r="G1009" s="176" t="s">
        <v>469</v>
      </c>
      <c r="H1009" s="177">
        <v>963</v>
      </c>
      <c r="I1009" s="177">
        <v>1</v>
      </c>
      <c r="J1009" s="177">
        <v>1</v>
      </c>
      <c r="K1009" s="177">
        <v>1</v>
      </c>
      <c r="L1009" s="133">
        <f t="shared" si="63"/>
        <v>963</v>
      </c>
      <c r="M1009" s="178"/>
      <c r="N1009" s="179"/>
    </row>
    <row r="1010" spans="2:14" s="180" customFormat="1" ht="15.75">
      <c r="B1010" s="171"/>
      <c r="C1010" s="172"/>
      <c r="D1010" s="173"/>
      <c r="E1010" s="174"/>
      <c r="F1010" s="175"/>
      <c r="G1010" s="176" t="s">
        <v>470</v>
      </c>
      <c r="H1010" s="177">
        <v>975</v>
      </c>
      <c r="I1010" s="177">
        <v>1</v>
      </c>
      <c r="J1010" s="177">
        <v>1</v>
      </c>
      <c r="K1010" s="177">
        <v>1</v>
      </c>
      <c r="L1010" s="133">
        <f t="shared" si="63"/>
        <v>975</v>
      </c>
      <c r="M1010" s="178"/>
      <c r="N1010" s="179"/>
    </row>
    <row r="1011" spans="2:14" s="138" customFormat="1" ht="38.25">
      <c r="B1011" s="126">
        <v>965</v>
      </c>
      <c r="C1011" s="127">
        <v>98</v>
      </c>
      <c r="D1011" s="128" t="s">
        <v>66</v>
      </c>
      <c r="E1011" s="136" t="s">
        <v>65</v>
      </c>
      <c r="F1011" s="136" t="s">
        <v>815</v>
      </c>
      <c r="G1011" s="131" t="s">
        <v>65</v>
      </c>
      <c r="H1011" s="137" t="s">
        <v>671</v>
      </c>
      <c r="I1011" s="131"/>
      <c r="J1011" s="131"/>
      <c r="K1011" s="131"/>
      <c r="L1011" s="170">
        <f>SUM(L1012)</f>
        <v>1262.48</v>
      </c>
      <c r="M1011" s="133">
        <v>6312.4</v>
      </c>
      <c r="N1011" s="134">
        <v>3787.44</v>
      </c>
    </row>
    <row r="1012" spans="2:14" ht="15.75">
      <c r="B1012" s="106">
        <v>966</v>
      </c>
      <c r="C1012" s="117">
        <v>98</v>
      </c>
      <c r="D1012" s="108"/>
      <c r="E1012" s="25"/>
      <c r="F1012" s="25"/>
      <c r="G1012" s="112" t="s">
        <v>629</v>
      </c>
      <c r="H1012" s="112">
        <v>29.36</v>
      </c>
      <c r="I1012" s="112">
        <v>43</v>
      </c>
      <c r="J1012" s="112">
        <v>1</v>
      </c>
      <c r="K1012" s="112">
        <v>1</v>
      </c>
      <c r="L1012" s="104">
        <f t="shared" si="63"/>
        <v>1262.48</v>
      </c>
      <c r="M1012" s="111"/>
      <c r="N1012" s="111"/>
    </row>
    <row r="1013" spans="2:14" s="138" customFormat="1" ht="38.25">
      <c r="B1013" s="157">
        <v>9999</v>
      </c>
      <c r="C1013" s="158">
        <v>99</v>
      </c>
      <c r="D1013" s="135" t="s">
        <v>64</v>
      </c>
      <c r="E1013" s="129" t="s">
        <v>63</v>
      </c>
      <c r="F1013" s="136" t="s">
        <v>811</v>
      </c>
      <c r="G1013" s="132"/>
      <c r="H1013" s="159"/>
      <c r="I1013" s="159"/>
      <c r="J1013" s="159"/>
      <c r="K1013" s="159"/>
      <c r="L1013" s="170">
        <f>SUM(L1014:L1015)</f>
        <v>0</v>
      </c>
      <c r="M1013" s="133">
        <v>0</v>
      </c>
      <c r="N1013" s="134">
        <v>0</v>
      </c>
    </row>
    <row r="1014" spans="2:14" s="156" customFormat="1" ht="15.75">
      <c r="B1014" s="160"/>
      <c r="C1014" s="161"/>
      <c r="D1014" s="113"/>
      <c r="E1014" s="11"/>
      <c r="F1014" s="1"/>
      <c r="G1014" s="162"/>
      <c r="H1014" s="112">
        <v>0</v>
      </c>
      <c r="I1014" s="112">
        <v>43</v>
      </c>
      <c r="J1014" s="112">
        <v>1</v>
      </c>
      <c r="K1014" s="112">
        <v>1</v>
      </c>
      <c r="L1014" s="104">
        <f t="shared" ref="L1014:L1018" si="64">H1014*I1014*J1014*K1014</f>
        <v>0</v>
      </c>
      <c r="M1014" s="104"/>
      <c r="N1014" s="105"/>
    </row>
    <row r="1015" spans="2:14" s="156" customFormat="1" ht="15.75">
      <c r="B1015" s="160"/>
      <c r="C1015" s="161"/>
      <c r="D1015" s="113"/>
      <c r="E1015" s="11"/>
      <c r="F1015" s="1"/>
      <c r="G1015" s="162"/>
      <c r="H1015" s="112">
        <v>0</v>
      </c>
      <c r="I1015" s="112">
        <v>43</v>
      </c>
      <c r="J1015" s="112">
        <v>1</v>
      </c>
      <c r="K1015" s="112">
        <v>1</v>
      </c>
      <c r="L1015" s="104">
        <f t="shared" si="64"/>
        <v>0</v>
      </c>
      <c r="M1015" s="104"/>
      <c r="N1015" s="105"/>
    </row>
    <row r="1016" spans="2:14" s="138" customFormat="1" ht="51">
      <c r="B1016" s="157">
        <v>9999</v>
      </c>
      <c r="C1016" s="158">
        <v>100</v>
      </c>
      <c r="D1016" s="135" t="s">
        <v>62</v>
      </c>
      <c r="E1016" s="129" t="s">
        <v>61</v>
      </c>
      <c r="F1016" s="136" t="s">
        <v>851</v>
      </c>
      <c r="G1016" s="132"/>
      <c r="H1016" s="159"/>
      <c r="I1016" s="159"/>
      <c r="J1016" s="159"/>
      <c r="K1016" s="159"/>
      <c r="L1016" s="170">
        <f>SUM(L1017:L1018)</f>
        <v>0</v>
      </c>
      <c r="M1016" s="133">
        <v>0</v>
      </c>
      <c r="N1016" s="134">
        <v>0</v>
      </c>
    </row>
    <row r="1017" spans="2:14" s="156" customFormat="1" ht="15.75">
      <c r="B1017" s="160"/>
      <c r="C1017" s="161"/>
      <c r="D1017" s="113"/>
      <c r="E1017" s="11"/>
      <c r="F1017" s="1"/>
      <c r="G1017" s="162"/>
      <c r="H1017" s="163"/>
      <c r="I1017" s="163"/>
      <c r="J1017" s="163"/>
      <c r="K1017" s="163"/>
      <c r="L1017" s="104">
        <f t="shared" si="64"/>
        <v>0</v>
      </c>
      <c r="M1017" s="104"/>
      <c r="N1017" s="105"/>
    </row>
    <row r="1018" spans="2:14" s="156" customFormat="1" ht="15.75">
      <c r="B1018" s="160"/>
      <c r="C1018" s="161"/>
      <c r="D1018" s="113"/>
      <c r="E1018" s="11"/>
      <c r="F1018" s="1"/>
      <c r="G1018" s="162"/>
      <c r="H1018" s="163"/>
      <c r="I1018" s="163"/>
      <c r="J1018" s="163"/>
      <c r="K1018" s="163"/>
      <c r="L1018" s="104">
        <f t="shared" si="64"/>
        <v>0</v>
      </c>
      <c r="M1018" s="104"/>
      <c r="N1018" s="105"/>
    </row>
    <row r="1019" spans="2:14" s="138" customFormat="1" ht="38.25">
      <c r="B1019" s="126">
        <v>967</v>
      </c>
      <c r="C1019" s="127">
        <v>101</v>
      </c>
      <c r="D1019" s="135" t="s">
        <v>60</v>
      </c>
      <c r="E1019" s="129" t="s">
        <v>59</v>
      </c>
      <c r="F1019" s="136" t="s">
        <v>816</v>
      </c>
      <c r="G1019" s="131" t="s">
        <v>59</v>
      </c>
      <c r="H1019" s="137" t="s">
        <v>671</v>
      </c>
      <c r="I1019" s="131"/>
      <c r="J1019" s="131"/>
      <c r="K1019" s="131"/>
      <c r="L1019" s="170">
        <f>SUM(L1020:L1025)</f>
        <v>10463.6003</v>
      </c>
      <c r="M1019" s="133">
        <v>9390.2800000000007</v>
      </c>
      <c r="N1019" s="134">
        <v>5618.05</v>
      </c>
    </row>
    <row r="1020" spans="2:14" ht="15.75">
      <c r="B1020" s="106">
        <v>968</v>
      </c>
      <c r="C1020" s="117">
        <v>101</v>
      </c>
      <c r="D1020" s="108"/>
      <c r="E1020" s="25"/>
      <c r="F1020" s="25"/>
      <c r="G1020" s="112" t="s">
        <v>624</v>
      </c>
      <c r="H1020" s="112" t="s">
        <v>671</v>
      </c>
      <c r="I1020" s="112"/>
      <c r="J1020" s="112"/>
      <c r="K1020" s="112"/>
      <c r="L1020" s="133"/>
      <c r="M1020" s="111"/>
      <c r="N1020" s="111"/>
    </row>
    <row r="1021" spans="2:14" ht="15.75">
      <c r="B1021" s="106">
        <v>969</v>
      </c>
      <c r="C1021" s="117">
        <v>101</v>
      </c>
      <c r="D1021" s="108"/>
      <c r="E1021" s="25"/>
      <c r="F1021" s="25"/>
      <c r="G1021" s="112" t="s">
        <v>466</v>
      </c>
      <c r="H1021" s="112">
        <v>1.39</v>
      </c>
      <c r="I1021" s="112">
        <v>1341</v>
      </c>
      <c r="J1021" s="112">
        <v>0</v>
      </c>
      <c r="K1021" s="112">
        <v>1</v>
      </c>
      <c r="L1021" s="133">
        <f>H1021*I1021*J1021*K1021</f>
        <v>0</v>
      </c>
      <c r="M1021" s="111"/>
      <c r="N1021" s="111"/>
    </row>
    <row r="1022" spans="2:14" ht="15.75">
      <c r="B1022" s="106">
        <v>970</v>
      </c>
      <c r="C1022" s="117">
        <v>101</v>
      </c>
      <c r="D1022" s="108"/>
      <c r="E1022" s="25"/>
      <c r="F1022" s="25"/>
      <c r="G1022" s="112" t="s">
        <v>467</v>
      </c>
      <c r="H1022" s="112">
        <v>1.39</v>
      </c>
      <c r="I1022" s="112">
        <v>1869.44</v>
      </c>
      <c r="J1022" s="112">
        <v>1</v>
      </c>
      <c r="K1022" s="112">
        <v>1</v>
      </c>
      <c r="L1022" s="133">
        <f t="shared" ref="L1022:L1025" si="65">H1022*I1022*J1022*K1022</f>
        <v>2598.5216</v>
      </c>
      <c r="M1022" s="111"/>
      <c r="N1022" s="111"/>
    </row>
    <row r="1023" spans="2:14" ht="15.75">
      <c r="B1023" s="106">
        <v>971</v>
      </c>
      <c r="C1023" s="117">
        <v>101</v>
      </c>
      <c r="D1023" s="108"/>
      <c r="E1023" s="25"/>
      <c r="F1023" s="25"/>
      <c r="G1023" s="112" t="s">
        <v>468</v>
      </c>
      <c r="H1023" s="112">
        <v>1.39</v>
      </c>
      <c r="I1023" s="112">
        <v>1886.11</v>
      </c>
      <c r="J1023" s="112">
        <v>1</v>
      </c>
      <c r="K1023" s="112">
        <v>1</v>
      </c>
      <c r="L1023" s="133">
        <f t="shared" si="65"/>
        <v>2621.6928999999996</v>
      </c>
      <c r="M1023" s="111"/>
      <c r="N1023" s="111"/>
    </row>
    <row r="1024" spans="2:14" ht="15.75">
      <c r="B1024" s="106">
        <v>972</v>
      </c>
      <c r="C1024" s="117">
        <v>101</v>
      </c>
      <c r="D1024" s="108"/>
      <c r="E1024" s="25"/>
      <c r="F1024" s="25"/>
      <c r="G1024" s="112" t="s">
        <v>469</v>
      </c>
      <c r="H1024" s="112">
        <v>1.39</v>
      </c>
      <c r="I1024" s="112">
        <v>1886.11</v>
      </c>
      <c r="J1024" s="112">
        <v>1</v>
      </c>
      <c r="K1024" s="112">
        <v>1</v>
      </c>
      <c r="L1024" s="133">
        <f t="shared" si="65"/>
        <v>2621.6928999999996</v>
      </c>
      <c r="M1024" s="111"/>
      <c r="N1024" s="111"/>
    </row>
    <row r="1025" spans="2:14" ht="15.75">
      <c r="B1025" s="106">
        <v>973</v>
      </c>
      <c r="C1025" s="117">
        <v>101</v>
      </c>
      <c r="D1025" s="108"/>
      <c r="E1025" s="25"/>
      <c r="F1025" s="25"/>
      <c r="G1025" s="112" t="s">
        <v>470</v>
      </c>
      <c r="H1025" s="112">
        <v>1.39</v>
      </c>
      <c r="I1025" s="112">
        <v>1886.11</v>
      </c>
      <c r="J1025" s="112">
        <v>1</v>
      </c>
      <c r="K1025" s="112">
        <v>1</v>
      </c>
      <c r="L1025" s="133">
        <f t="shared" si="65"/>
        <v>2621.6928999999996</v>
      </c>
      <c r="M1025" s="111"/>
      <c r="N1025" s="111"/>
    </row>
    <row r="1026" spans="2:14" s="138" customFormat="1" ht="38.25">
      <c r="B1026" s="157">
        <v>9999</v>
      </c>
      <c r="C1026" s="158">
        <v>102</v>
      </c>
      <c r="D1026" s="135" t="s">
        <v>58</v>
      </c>
      <c r="E1026" s="129" t="s">
        <v>57</v>
      </c>
      <c r="F1026" s="136" t="s">
        <v>852</v>
      </c>
      <c r="G1026" s="132"/>
      <c r="H1026" s="159"/>
      <c r="I1026" s="159"/>
      <c r="J1026" s="159"/>
      <c r="K1026" s="159"/>
      <c r="L1026" s="170">
        <f>SUM(L1027:L1028)</f>
        <v>0</v>
      </c>
      <c r="M1026" s="133">
        <v>0</v>
      </c>
      <c r="N1026" s="134">
        <v>0</v>
      </c>
    </row>
    <row r="1027" spans="2:14" s="156" customFormat="1" ht="15.75">
      <c r="B1027" s="160"/>
      <c r="C1027" s="161"/>
      <c r="D1027" s="113"/>
      <c r="E1027" s="11"/>
      <c r="F1027" s="1"/>
      <c r="G1027" s="162"/>
      <c r="H1027" s="163"/>
      <c r="I1027" s="163"/>
      <c r="J1027" s="163"/>
      <c r="K1027" s="163"/>
      <c r="L1027" s="104">
        <f>H1027*I1027*J1027*K1027</f>
        <v>0</v>
      </c>
      <c r="M1027" s="104"/>
      <c r="N1027" s="105"/>
    </row>
    <row r="1028" spans="2:14" s="156" customFormat="1" ht="15.75">
      <c r="B1028" s="160"/>
      <c r="C1028" s="161"/>
      <c r="D1028" s="113"/>
      <c r="E1028" s="11"/>
      <c r="F1028" s="1"/>
      <c r="G1028" s="162"/>
      <c r="H1028" s="163"/>
      <c r="I1028" s="163"/>
      <c r="J1028" s="163"/>
      <c r="K1028" s="163"/>
      <c r="L1028" s="104">
        <f>H1028*I1028*J1028*K1028</f>
        <v>0</v>
      </c>
      <c r="M1028" s="104"/>
      <c r="N1028" s="105"/>
    </row>
    <row r="1029" spans="2:14" s="138" customFormat="1" ht="38.25">
      <c r="B1029" s="126">
        <v>974</v>
      </c>
      <c r="C1029" s="127">
        <v>103</v>
      </c>
      <c r="D1029" s="135" t="s">
        <v>56</v>
      </c>
      <c r="E1029" s="129" t="s">
        <v>55</v>
      </c>
      <c r="F1029" s="136"/>
      <c r="G1029" s="131" t="s">
        <v>55</v>
      </c>
      <c r="H1029" s="137" t="s">
        <v>671</v>
      </c>
      <c r="I1029" s="131"/>
      <c r="J1029" s="131"/>
      <c r="K1029" s="131"/>
      <c r="L1029" s="170">
        <f>SUM(L1030:L1044)</f>
        <v>9994.2199999999993</v>
      </c>
      <c r="M1029" s="133">
        <v>9994.2199999999993</v>
      </c>
      <c r="N1029" s="134">
        <v>9994.2199999999993</v>
      </c>
    </row>
    <row r="1030" spans="2:14" ht="15.75">
      <c r="B1030" s="106">
        <v>975</v>
      </c>
      <c r="C1030" s="117">
        <v>103</v>
      </c>
      <c r="D1030" s="108"/>
      <c r="E1030" s="25"/>
      <c r="F1030" s="25"/>
      <c r="G1030" s="112" t="s">
        <v>453</v>
      </c>
      <c r="H1030" s="112">
        <v>25</v>
      </c>
      <c r="I1030" s="110">
        <v>2</v>
      </c>
      <c r="J1030" s="110">
        <v>1</v>
      </c>
      <c r="K1030" s="112">
        <v>10</v>
      </c>
      <c r="L1030" s="104">
        <f>H1030*I1030*J1030*K1030</f>
        <v>500</v>
      </c>
      <c r="M1030" s="111"/>
      <c r="N1030" s="111"/>
    </row>
    <row r="1031" spans="2:14" ht="15.75">
      <c r="B1031" s="106">
        <v>976</v>
      </c>
      <c r="C1031" s="117">
        <v>103</v>
      </c>
      <c r="D1031" s="108"/>
      <c r="E1031" s="25"/>
      <c r="F1031" s="25"/>
      <c r="G1031" s="112" t="s">
        <v>462</v>
      </c>
      <c r="H1031" s="112">
        <v>25</v>
      </c>
      <c r="I1031" s="110">
        <v>1</v>
      </c>
      <c r="J1031" s="110">
        <v>1</v>
      </c>
      <c r="K1031" s="112">
        <v>10</v>
      </c>
      <c r="L1031" s="104">
        <f t="shared" ref="L1031:L1044" si="66">H1031*I1031*J1031*K1031</f>
        <v>250</v>
      </c>
      <c r="M1031" s="111"/>
      <c r="N1031" s="111"/>
    </row>
    <row r="1032" spans="2:14" ht="15.75">
      <c r="B1032" s="106">
        <v>977</v>
      </c>
      <c r="C1032" s="117">
        <v>103</v>
      </c>
      <c r="D1032" s="108"/>
      <c r="E1032" s="25"/>
      <c r="F1032" s="25"/>
      <c r="G1032" s="112" t="s">
        <v>568</v>
      </c>
      <c r="H1032" s="112">
        <v>4</v>
      </c>
      <c r="I1032" s="110">
        <v>28</v>
      </c>
      <c r="J1032" s="110">
        <v>1</v>
      </c>
      <c r="K1032" s="112">
        <v>10</v>
      </c>
      <c r="L1032" s="104">
        <f t="shared" si="66"/>
        <v>1120</v>
      </c>
      <c r="M1032" s="111"/>
      <c r="N1032" s="111"/>
    </row>
    <row r="1033" spans="2:14" ht="15.75">
      <c r="B1033" s="106">
        <v>978</v>
      </c>
      <c r="C1033" s="117">
        <v>103</v>
      </c>
      <c r="D1033" s="108"/>
      <c r="E1033" s="25"/>
      <c r="F1033" s="25"/>
      <c r="G1033" s="112" t="s">
        <v>569</v>
      </c>
      <c r="H1033" s="112">
        <v>8</v>
      </c>
      <c r="I1033" s="110">
        <v>28</v>
      </c>
      <c r="J1033" s="110">
        <v>1</v>
      </c>
      <c r="K1033" s="112">
        <v>10</v>
      </c>
      <c r="L1033" s="104">
        <f t="shared" si="66"/>
        <v>2240</v>
      </c>
      <c r="M1033" s="111"/>
      <c r="N1033" s="111"/>
    </row>
    <row r="1034" spans="2:14" ht="24">
      <c r="B1034" s="106">
        <v>979</v>
      </c>
      <c r="C1034" s="117">
        <v>103</v>
      </c>
      <c r="D1034" s="108"/>
      <c r="E1034" s="25"/>
      <c r="F1034" s="25"/>
      <c r="G1034" s="112" t="s">
        <v>570</v>
      </c>
      <c r="H1034" s="112">
        <v>10</v>
      </c>
      <c r="I1034" s="110">
        <v>25</v>
      </c>
      <c r="J1034" s="110">
        <v>1</v>
      </c>
      <c r="K1034" s="112">
        <v>10</v>
      </c>
      <c r="L1034" s="104">
        <f t="shared" si="66"/>
        <v>2500</v>
      </c>
      <c r="M1034" s="111"/>
      <c r="N1034" s="111"/>
    </row>
    <row r="1035" spans="2:14" ht="15.75">
      <c r="B1035" s="106">
        <v>980</v>
      </c>
      <c r="C1035" s="117">
        <v>103</v>
      </c>
      <c r="D1035" s="108"/>
      <c r="E1035" s="25"/>
      <c r="F1035" s="25"/>
      <c r="G1035" s="112" t="s">
        <v>432</v>
      </c>
      <c r="H1035" s="112">
        <v>8</v>
      </c>
      <c r="I1035" s="110">
        <v>1</v>
      </c>
      <c r="J1035" s="110">
        <v>1</v>
      </c>
      <c r="K1035" s="112">
        <v>10</v>
      </c>
      <c r="L1035" s="104">
        <f t="shared" si="66"/>
        <v>80</v>
      </c>
      <c r="M1035" s="111"/>
      <c r="N1035" s="111"/>
    </row>
    <row r="1036" spans="2:14" ht="15.75">
      <c r="B1036" s="106">
        <v>981</v>
      </c>
      <c r="C1036" s="117">
        <v>103</v>
      </c>
      <c r="D1036" s="108"/>
      <c r="E1036" s="25"/>
      <c r="F1036" s="25"/>
      <c r="G1036" s="112" t="s">
        <v>463</v>
      </c>
      <c r="H1036" s="112">
        <v>119</v>
      </c>
      <c r="I1036" s="110">
        <v>1</v>
      </c>
      <c r="J1036" s="110">
        <v>1</v>
      </c>
      <c r="K1036" s="112">
        <v>12</v>
      </c>
      <c r="L1036" s="104">
        <f t="shared" si="66"/>
        <v>1428</v>
      </c>
      <c r="M1036" s="111"/>
      <c r="N1036" s="111"/>
    </row>
    <row r="1037" spans="2:14" ht="15.75">
      <c r="B1037" s="106">
        <v>982</v>
      </c>
      <c r="C1037" s="117">
        <v>103</v>
      </c>
      <c r="D1037" s="108"/>
      <c r="E1037" s="25"/>
      <c r="F1037" s="25"/>
      <c r="G1037" s="112" t="s">
        <v>434</v>
      </c>
      <c r="H1037" s="112">
        <v>10</v>
      </c>
      <c r="I1037" s="110">
        <v>25</v>
      </c>
      <c r="J1037" s="110">
        <v>1</v>
      </c>
      <c r="K1037" s="112">
        <v>1</v>
      </c>
      <c r="L1037" s="104">
        <f t="shared" si="66"/>
        <v>250</v>
      </c>
      <c r="M1037" s="111"/>
      <c r="N1037" s="111"/>
    </row>
    <row r="1038" spans="2:14" ht="15.75">
      <c r="B1038" s="106">
        <v>983</v>
      </c>
      <c r="C1038" s="117">
        <v>103</v>
      </c>
      <c r="D1038" s="108"/>
      <c r="E1038" s="25"/>
      <c r="F1038" s="25"/>
      <c r="G1038" s="112" t="s">
        <v>455</v>
      </c>
      <c r="H1038" s="112">
        <v>260</v>
      </c>
      <c r="I1038" s="110">
        <v>1</v>
      </c>
      <c r="J1038" s="110">
        <v>1</v>
      </c>
      <c r="K1038" s="112">
        <v>1</v>
      </c>
      <c r="L1038" s="104">
        <f t="shared" si="66"/>
        <v>260</v>
      </c>
      <c r="M1038" s="111"/>
      <c r="N1038" s="111"/>
    </row>
    <row r="1039" spans="2:14" ht="15.75">
      <c r="B1039" s="106">
        <v>984</v>
      </c>
      <c r="C1039" s="117">
        <v>103</v>
      </c>
      <c r="D1039" s="108"/>
      <c r="E1039" s="25"/>
      <c r="F1039" s="25"/>
      <c r="G1039" s="112" t="s">
        <v>435</v>
      </c>
      <c r="H1039" s="112">
        <v>70</v>
      </c>
      <c r="I1039" s="110">
        <v>1</v>
      </c>
      <c r="J1039" s="110">
        <v>1</v>
      </c>
      <c r="K1039" s="112">
        <v>10</v>
      </c>
      <c r="L1039" s="104">
        <f t="shared" si="66"/>
        <v>700</v>
      </c>
      <c r="M1039" s="111"/>
      <c r="N1039" s="111"/>
    </row>
    <row r="1040" spans="2:14" ht="15.75">
      <c r="B1040" s="106">
        <v>985</v>
      </c>
      <c r="C1040" s="117">
        <v>103</v>
      </c>
      <c r="D1040" s="108"/>
      <c r="E1040" s="25"/>
      <c r="F1040" s="25"/>
      <c r="G1040" s="112" t="s">
        <v>443</v>
      </c>
      <c r="H1040" s="112">
        <v>8.33</v>
      </c>
      <c r="I1040" s="110">
        <v>5</v>
      </c>
      <c r="J1040" s="110">
        <v>1</v>
      </c>
      <c r="K1040" s="112">
        <v>1</v>
      </c>
      <c r="L1040" s="104">
        <f t="shared" si="66"/>
        <v>41.65</v>
      </c>
      <c r="M1040" s="111"/>
      <c r="N1040" s="111"/>
    </row>
    <row r="1041" spans="2:14" ht="15.75">
      <c r="B1041" s="106">
        <v>986</v>
      </c>
      <c r="C1041" s="117">
        <v>103</v>
      </c>
      <c r="D1041" s="108"/>
      <c r="E1041" s="25"/>
      <c r="F1041" s="25"/>
      <c r="G1041" s="112" t="s">
        <v>464</v>
      </c>
      <c r="H1041" s="112">
        <v>305.56</v>
      </c>
      <c r="I1041" s="112">
        <v>1</v>
      </c>
      <c r="J1041" s="110">
        <v>1</v>
      </c>
      <c r="K1041" s="112">
        <v>1</v>
      </c>
      <c r="L1041" s="104">
        <f t="shared" si="66"/>
        <v>305.56</v>
      </c>
      <c r="M1041" s="111"/>
      <c r="N1041" s="111"/>
    </row>
    <row r="1042" spans="2:14" ht="15.75">
      <c r="B1042" s="106">
        <v>987</v>
      </c>
      <c r="C1042" s="117">
        <v>103</v>
      </c>
      <c r="D1042" s="108"/>
      <c r="E1042" s="25"/>
      <c r="F1042" s="25"/>
      <c r="G1042" s="112" t="s">
        <v>465</v>
      </c>
      <c r="H1042" s="112">
        <v>166.67</v>
      </c>
      <c r="I1042" s="112">
        <v>1</v>
      </c>
      <c r="J1042" s="110">
        <v>1</v>
      </c>
      <c r="K1042" s="112">
        <v>1</v>
      </c>
      <c r="L1042" s="104">
        <f t="shared" si="66"/>
        <v>166.67</v>
      </c>
      <c r="M1042" s="111"/>
      <c r="N1042" s="111"/>
    </row>
    <row r="1043" spans="2:14" ht="15.75">
      <c r="B1043" s="106">
        <v>988</v>
      </c>
      <c r="C1043" s="117">
        <v>103</v>
      </c>
      <c r="D1043" s="108"/>
      <c r="E1043" s="25"/>
      <c r="F1043" s="25"/>
      <c r="G1043" s="112" t="s">
        <v>447</v>
      </c>
      <c r="H1043" s="112">
        <v>1.19</v>
      </c>
      <c r="I1043" s="112">
        <v>10</v>
      </c>
      <c r="J1043" s="110">
        <v>1</v>
      </c>
      <c r="K1043" s="112">
        <v>10</v>
      </c>
      <c r="L1043" s="104">
        <f t="shared" si="66"/>
        <v>118.99999999999999</v>
      </c>
      <c r="M1043" s="111"/>
      <c r="N1043" s="111"/>
    </row>
    <row r="1044" spans="2:14" ht="15.75">
      <c r="B1044" s="106">
        <v>989</v>
      </c>
      <c r="C1044" s="117">
        <v>103</v>
      </c>
      <c r="D1044" s="108"/>
      <c r="E1044" s="25"/>
      <c r="F1044" s="25"/>
      <c r="G1044" s="112" t="s">
        <v>459</v>
      </c>
      <c r="H1044" s="112">
        <v>16.670000000000002</v>
      </c>
      <c r="I1044" s="112">
        <v>2</v>
      </c>
      <c r="J1044" s="110">
        <v>1</v>
      </c>
      <c r="K1044" s="112">
        <v>1</v>
      </c>
      <c r="L1044" s="104">
        <f t="shared" si="66"/>
        <v>33.340000000000003</v>
      </c>
      <c r="M1044" s="111"/>
      <c r="N1044" s="111"/>
    </row>
    <row r="1045" spans="2:14" s="138" customFormat="1" ht="25.5">
      <c r="B1045" s="126">
        <v>990</v>
      </c>
      <c r="C1045" s="127">
        <v>104</v>
      </c>
      <c r="D1045" s="135" t="s">
        <v>54</v>
      </c>
      <c r="E1045" s="129" t="s">
        <v>817</v>
      </c>
      <c r="F1045" s="136" t="s">
        <v>818</v>
      </c>
      <c r="G1045" s="131" t="s">
        <v>53</v>
      </c>
      <c r="H1045" s="137" t="s">
        <v>671</v>
      </c>
      <c r="I1045" s="131"/>
      <c r="J1045" s="131"/>
      <c r="K1045" s="131"/>
      <c r="L1045" s="170">
        <f>SUM(L1046:L1060)</f>
        <v>9994.2199999999993</v>
      </c>
      <c r="M1045" s="133">
        <v>9994.2199999999993</v>
      </c>
      <c r="N1045" s="134">
        <v>0</v>
      </c>
    </row>
    <row r="1046" spans="2:14" ht="15.75">
      <c r="B1046" s="106">
        <v>991</v>
      </c>
      <c r="C1046" s="117">
        <v>104</v>
      </c>
      <c r="D1046" s="108"/>
      <c r="E1046" s="25"/>
      <c r="F1046" s="25"/>
      <c r="G1046" s="112" t="s">
        <v>453</v>
      </c>
      <c r="H1046" s="112">
        <v>25</v>
      </c>
      <c r="I1046" s="110">
        <v>2</v>
      </c>
      <c r="J1046" s="110">
        <v>1</v>
      </c>
      <c r="K1046" s="112">
        <v>10</v>
      </c>
      <c r="L1046" s="104">
        <f>H1046*I1046*J1046*K1046</f>
        <v>500</v>
      </c>
      <c r="M1046" s="111"/>
      <c r="N1046" s="111"/>
    </row>
    <row r="1047" spans="2:14" ht="15.75">
      <c r="B1047" s="106">
        <v>992</v>
      </c>
      <c r="C1047" s="117">
        <v>104</v>
      </c>
      <c r="D1047" s="108"/>
      <c r="E1047" s="25"/>
      <c r="F1047" s="25"/>
      <c r="G1047" s="112" t="s">
        <v>462</v>
      </c>
      <c r="H1047" s="112">
        <v>25</v>
      </c>
      <c r="I1047" s="110">
        <v>1</v>
      </c>
      <c r="J1047" s="110">
        <v>1</v>
      </c>
      <c r="K1047" s="112">
        <v>10</v>
      </c>
      <c r="L1047" s="104">
        <f t="shared" ref="L1047:L1060" si="67">H1047*I1047*J1047*K1047</f>
        <v>250</v>
      </c>
      <c r="M1047" s="111"/>
      <c r="N1047" s="111"/>
    </row>
    <row r="1048" spans="2:14" ht="15.75">
      <c r="B1048" s="106">
        <v>993</v>
      </c>
      <c r="C1048" s="117">
        <v>104</v>
      </c>
      <c r="D1048" s="108"/>
      <c r="E1048" s="25"/>
      <c r="F1048" s="25"/>
      <c r="G1048" s="112" t="s">
        <v>568</v>
      </c>
      <c r="H1048" s="112">
        <v>4</v>
      </c>
      <c r="I1048" s="110">
        <v>28</v>
      </c>
      <c r="J1048" s="110">
        <v>1</v>
      </c>
      <c r="K1048" s="112">
        <v>10</v>
      </c>
      <c r="L1048" s="104">
        <f t="shared" si="67"/>
        <v>1120</v>
      </c>
      <c r="M1048" s="111"/>
      <c r="N1048" s="111"/>
    </row>
    <row r="1049" spans="2:14" ht="15.75">
      <c r="B1049" s="106">
        <v>994</v>
      </c>
      <c r="C1049" s="117">
        <v>104</v>
      </c>
      <c r="D1049" s="108"/>
      <c r="E1049" s="25"/>
      <c r="F1049" s="25"/>
      <c r="G1049" s="112" t="s">
        <v>569</v>
      </c>
      <c r="H1049" s="112">
        <v>8</v>
      </c>
      <c r="I1049" s="110">
        <v>28</v>
      </c>
      <c r="J1049" s="110">
        <v>1</v>
      </c>
      <c r="K1049" s="112">
        <v>10</v>
      </c>
      <c r="L1049" s="104">
        <f t="shared" si="67"/>
        <v>2240</v>
      </c>
      <c r="M1049" s="111"/>
      <c r="N1049" s="111"/>
    </row>
    <row r="1050" spans="2:14" ht="24">
      <c r="B1050" s="106">
        <v>995</v>
      </c>
      <c r="C1050" s="117">
        <v>104</v>
      </c>
      <c r="D1050" s="108"/>
      <c r="E1050" s="25"/>
      <c r="F1050" s="25"/>
      <c r="G1050" s="112" t="s">
        <v>570</v>
      </c>
      <c r="H1050" s="112">
        <v>10</v>
      </c>
      <c r="I1050" s="110">
        <v>25</v>
      </c>
      <c r="J1050" s="110">
        <v>1</v>
      </c>
      <c r="K1050" s="112">
        <v>10</v>
      </c>
      <c r="L1050" s="104">
        <f t="shared" si="67"/>
        <v>2500</v>
      </c>
      <c r="M1050" s="111"/>
      <c r="N1050" s="111"/>
    </row>
    <row r="1051" spans="2:14" ht="15.75">
      <c r="B1051" s="106">
        <v>996</v>
      </c>
      <c r="C1051" s="117">
        <v>104</v>
      </c>
      <c r="D1051" s="108"/>
      <c r="E1051" s="25"/>
      <c r="F1051" s="25"/>
      <c r="G1051" s="112" t="s">
        <v>432</v>
      </c>
      <c r="H1051" s="112">
        <v>8</v>
      </c>
      <c r="I1051" s="110">
        <v>1</v>
      </c>
      <c r="J1051" s="110">
        <v>1</v>
      </c>
      <c r="K1051" s="112">
        <v>10</v>
      </c>
      <c r="L1051" s="104">
        <f t="shared" si="67"/>
        <v>80</v>
      </c>
      <c r="M1051" s="111"/>
      <c r="N1051" s="111"/>
    </row>
    <row r="1052" spans="2:14" ht="15.75">
      <c r="B1052" s="106">
        <v>997</v>
      </c>
      <c r="C1052" s="117">
        <v>104</v>
      </c>
      <c r="D1052" s="108"/>
      <c r="E1052" s="25"/>
      <c r="F1052" s="25"/>
      <c r="G1052" s="112" t="s">
        <v>463</v>
      </c>
      <c r="H1052" s="112">
        <v>119</v>
      </c>
      <c r="I1052" s="110">
        <v>1</v>
      </c>
      <c r="J1052" s="110">
        <v>1</v>
      </c>
      <c r="K1052" s="112">
        <v>12</v>
      </c>
      <c r="L1052" s="104">
        <f t="shared" si="67"/>
        <v>1428</v>
      </c>
      <c r="M1052" s="111"/>
      <c r="N1052" s="111"/>
    </row>
    <row r="1053" spans="2:14" ht="15.75">
      <c r="B1053" s="106">
        <v>998</v>
      </c>
      <c r="C1053" s="117">
        <v>104</v>
      </c>
      <c r="D1053" s="108"/>
      <c r="E1053" s="25"/>
      <c r="F1053" s="25"/>
      <c r="G1053" s="112" t="s">
        <v>434</v>
      </c>
      <c r="H1053" s="112">
        <v>10</v>
      </c>
      <c r="I1053" s="110">
        <v>25</v>
      </c>
      <c r="J1053" s="110">
        <v>1</v>
      </c>
      <c r="K1053" s="112">
        <v>1</v>
      </c>
      <c r="L1053" s="104">
        <f t="shared" si="67"/>
        <v>250</v>
      </c>
      <c r="M1053" s="111"/>
      <c r="N1053" s="111"/>
    </row>
    <row r="1054" spans="2:14" ht="15.75">
      <c r="B1054" s="106">
        <v>999</v>
      </c>
      <c r="C1054" s="117">
        <v>104</v>
      </c>
      <c r="D1054" s="108"/>
      <c r="E1054" s="25"/>
      <c r="F1054" s="25"/>
      <c r="G1054" s="112" t="s">
        <v>455</v>
      </c>
      <c r="H1054" s="112">
        <v>260</v>
      </c>
      <c r="I1054" s="110">
        <v>1</v>
      </c>
      <c r="J1054" s="110">
        <v>1</v>
      </c>
      <c r="K1054" s="112">
        <v>1</v>
      </c>
      <c r="L1054" s="104">
        <f t="shared" si="67"/>
        <v>260</v>
      </c>
      <c r="M1054" s="111"/>
      <c r="N1054" s="111"/>
    </row>
    <row r="1055" spans="2:14" ht="15.75">
      <c r="B1055" s="106">
        <v>1000</v>
      </c>
      <c r="C1055" s="117">
        <v>104</v>
      </c>
      <c r="D1055" s="108"/>
      <c r="E1055" s="25"/>
      <c r="F1055" s="25"/>
      <c r="G1055" s="112" t="s">
        <v>435</v>
      </c>
      <c r="H1055" s="112">
        <v>70</v>
      </c>
      <c r="I1055" s="110">
        <v>1</v>
      </c>
      <c r="J1055" s="110">
        <v>1</v>
      </c>
      <c r="K1055" s="112">
        <v>10</v>
      </c>
      <c r="L1055" s="104">
        <f t="shared" si="67"/>
        <v>700</v>
      </c>
      <c r="M1055" s="111"/>
      <c r="N1055" s="111"/>
    </row>
    <row r="1056" spans="2:14" ht="15.75">
      <c r="B1056" s="106">
        <v>1001</v>
      </c>
      <c r="C1056" s="117">
        <v>104</v>
      </c>
      <c r="D1056" s="108"/>
      <c r="E1056" s="25"/>
      <c r="F1056" s="25"/>
      <c r="G1056" s="112" t="s">
        <v>443</v>
      </c>
      <c r="H1056" s="112">
        <v>8.33</v>
      </c>
      <c r="I1056" s="110">
        <v>5</v>
      </c>
      <c r="J1056" s="110">
        <v>1</v>
      </c>
      <c r="K1056" s="112">
        <v>1</v>
      </c>
      <c r="L1056" s="104">
        <f t="shared" si="67"/>
        <v>41.65</v>
      </c>
      <c r="M1056" s="111"/>
      <c r="N1056" s="111"/>
    </row>
    <row r="1057" spans="2:14" ht="15.75">
      <c r="B1057" s="106">
        <v>1002</v>
      </c>
      <c r="C1057" s="117">
        <v>104</v>
      </c>
      <c r="D1057" s="108"/>
      <c r="E1057" s="25"/>
      <c r="F1057" s="25"/>
      <c r="G1057" s="112" t="s">
        <v>464</v>
      </c>
      <c r="H1057" s="112">
        <v>305.56</v>
      </c>
      <c r="I1057" s="112">
        <v>1</v>
      </c>
      <c r="J1057" s="110">
        <v>1</v>
      </c>
      <c r="K1057" s="112">
        <v>1</v>
      </c>
      <c r="L1057" s="104">
        <f>H1057*I1057*J1057*K1057</f>
        <v>305.56</v>
      </c>
      <c r="M1057" s="111"/>
      <c r="N1057" s="111"/>
    </row>
    <row r="1058" spans="2:14" ht="15.75">
      <c r="B1058" s="106">
        <v>1003</v>
      </c>
      <c r="C1058" s="117">
        <v>104</v>
      </c>
      <c r="D1058" s="108"/>
      <c r="E1058" s="25"/>
      <c r="F1058" s="25"/>
      <c r="G1058" s="112" t="s">
        <v>465</v>
      </c>
      <c r="H1058" s="112">
        <v>166.67</v>
      </c>
      <c r="I1058" s="112">
        <v>1</v>
      </c>
      <c r="J1058" s="110">
        <v>1</v>
      </c>
      <c r="K1058" s="112">
        <v>1</v>
      </c>
      <c r="L1058" s="104">
        <f t="shared" si="67"/>
        <v>166.67</v>
      </c>
      <c r="M1058" s="111"/>
      <c r="N1058" s="111"/>
    </row>
    <row r="1059" spans="2:14" ht="15.75">
      <c r="B1059" s="106">
        <v>1004</v>
      </c>
      <c r="C1059" s="117">
        <v>104</v>
      </c>
      <c r="D1059" s="108"/>
      <c r="E1059" s="25"/>
      <c r="F1059" s="25"/>
      <c r="G1059" s="112" t="s">
        <v>447</v>
      </c>
      <c r="H1059" s="112">
        <v>1.19</v>
      </c>
      <c r="I1059" s="112">
        <v>10</v>
      </c>
      <c r="J1059" s="110">
        <v>1</v>
      </c>
      <c r="K1059" s="112">
        <v>10</v>
      </c>
      <c r="L1059" s="104">
        <f t="shared" si="67"/>
        <v>118.99999999999999</v>
      </c>
      <c r="M1059" s="111"/>
      <c r="N1059" s="111"/>
    </row>
    <row r="1060" spans="2:14" ht="15.75">
      <c r="B1060" s="106">
        <v>1005</v>
      </c>
      <c r="C1060" s="117">
        <v>104</v>
      </c>
      <c r="D1060" s="108"/>
      <c r="E1060" s="25"/>
      <c r="F1060" s="25"/>
      <c r="G1060" s="112" t="s">
        <v>459</v>
      </c>
      <c r="H1060" s="112">
        <v>16.670000000000002</v>
      </c>
      <c r="I1060" s="112">
        <v>2</v>
      </c>
      <c r="J1060" s="110">
        <v>1</v>
      </c>
      <c r="K1060" s="112">
        <v>1</v>
      </c>
      <c r="L1060" s="104">
        <f t="shared" si="67"/>
        <v>33.340000000000003</v>
      </c>
      <c r="M1060" s="111"/>
      <c r="N1060" s="111"/>
    </row>
    <row r="1061" spans="2:14" s="138" customFormat="1" ht="25.5">
      <c r="B1061" s="126">
        <v>1006</v>
      </c>
      <c r="C1061" s="127">
        <v>105</v>
      </c>
      <c r="D1061" s="135" t="s">
        <v>52</v>
      </c>
      <c r="E1061" s="129" t="s">
        <v>51</v>
      </c>
      <c r="F1061" s="136" t="s">
        <v>819</v>
      </c>
      <c r="G1061" s="131" t="s">
        <v>627</v>
      </c>
      <c r="H1061" s="137" t="s">
        <v>671</v>
      </c>
      <c r="I1061" s="131"/>
      <c r="J1061" s="131"/>
      <c r="K1061" s="131"/>
      <c r="L1061" s="170">
        <f>SUM(L1062)</f>
        <v>0</v>
      </c>
      <c r="M1061" s="133">
        <v>4391.8500000000004</v>
      </c>
      <c r="N1061" s="134">
        <v>2635.11</v>
      </c>
    </row>
    <row r="1062" spans="2:14" ht="15.75">
      <c r="B1062" s="106">
        <v>1007</v>
      </c>
      <c r="C1062" s="117">
        <v>105</v>
      </c>
      <c r="D1062" s="108"/>
      <c r="E1062" s="25"/>
      <c r="F1062" s="25"/>
      <c r="G1062" s="112" t="s">
        <v>628</v>
      </c>
      <c r="H1062" s="112">
        <v>2.0099999999999998</v>
      </c>
      <c r="I1062" s="112">
        <v>437</v>
      </c>
      <c r="J1062" s="112">
        <v>0</v>
      </c>
      <c r="K1062" s="112">
        <v>1</v>
      </c>
      <c r="L1062" s="104">
        <f>H1062*I1062*J1062*K1062</f>
        <v>0</v>
      </c>
      <c r="M1062" s="111"/>
      <c r="N1062" s="111"/>
    </row>
    <row r="1063" spans="2:14" s="138" customFormat="1" ht="25.5">
      <c r="B1063" s="126">
        <v>1008</v>
      </c>
      <c r="C1063" s="127">
        <v>106</v>
      </c>
      <c r="D1063" s="135" t="s">
        <v>50</v>
      </c>
      <c r="E1063" s="129" t="s">
        <v>49</v>
      </c>
      <c r="F1063" s="136" t="s">
        <v>819</v>
      </c>
      <c r="G1063" s="131" t="s">
        <v>622</v>
      </c>
      <c r="H1063" s="168"/>
      <c r="I1063" s="168"/>
      <c r="J1063" s="168"/>
      <c r="K1063" s="168"/>
      <c r="L1063" s="170">
        <f>SUM(L1064)</f>
        <v>0</v>
      </c>
      <c r="M1063" s="133">
        <v>8190</v>
      </c>
      <c r="N1063" s="134">
        <v>4914</v>
      </c>
    </row>
    <row r="1064" spans="2:14" ht="15.75">
      <c r="B1064" s="106">
        <v>1009</v>
      </c>
      <c r="C1064" s="117">
        <v>106</v>
      </c>
      <c r="D1064" s="108"/>
      <c r="E1064" s="25"/>
      <c r="F1064" s="25"/>
      <c r="G1064" s="112" t="s">
        <v>623</v>
      </c>
      <c r="H1064" s="112">
        <v>5.25</v>
      </c>
      <c r="I1064" s="112">
        <v>312</v>
      </c>
      <c r="J1064" s="112">
        <v>0</v>
      </c>
      <c r="K1064" s="112">
        <v>1</v>
      </c>
      <c r="L1064" s="104">
        <f>H1064*I1064*J1064*K1064</f>
        <v>0</v>
      </c>
      <c r="M1064" s="111"/>
      <c r="N1064" s="111"/>
    </row>
    <row r="1065" spans="2:14" s="138" customFormat="1" ht="25.5">
      <c r="B1065" s="126">
        <v>1010</v>
      </c>
      <c r="C1065" s="127">
        <v>107</v>
      </c>
      <c r="D1065" s="135" t="s">
        <v>48</v>
      </c>
      <c r="E1065" s="129" t="s">
        <v>47</v>
      </c>
      <c r="F1065" s="136" t="s">
        <v>820</v>
      </c>
      <c r="G1065" s="131" t="s">
        <v>625</v>
      </c>
      <c r="H1065" s="168"/>
      <c r="I1065" s="168"/>
      <c r="J1065" s="168"/>
      <c r="K1065" s="168"/>
      <c r="L1065" s="170">
        <f>SUM(L1066)</f>
        <v>0</v>
      </c>
      <c r="M1065" s="133">
        <v>40000</v>
      </c>
      <c r="N1065" s="134">
        <v>24000</v>
      </c>
    </row>
    <row r="1066" spans="2:14" ht="15.75">
      <c r="B1066" s="106">
        <v>1011</v>
      </c>
      <c r="C1066" s="117">
        <v>107</v>
      </c>
      <c r="D1066" s="108"/>
      <c r="E1066" s="25"/>
      <c r="F1066" s="25"/>
      <c r="G1066" s="112" t="s">
        <v>626</v>
      </c>
      <c r="H1066" s="112">
        <v>80</v>
      </c>
      <c r="I1066" s="112">
        <v>100</v>
      </c>
      <c r="J1066" s="112">
        <v>0</v>
      </c>
      <c r="K1066" s="112">
        <v>1</v>
      </c>
      <c r="L1066" s="104">
        <f>H1066*I1066*J1066*K1066</f>
        <v>0</v>
      </c>
      <c r="M1066" s="111"/>
      <c r="N1066" s="111"/>
    </row>
    <row r="1067" spans="2:14" s="138" customFormat="1" ht="51">
      <c r="B1067" s="126">
        <v>1012</v>
      </c>
      <c r="C1067" s="127">
        <v>108</v>
      </c>
      <c r="D1067" s="135" t="s">
        <v>46</v>
      </c>
      <c r="E1067" s="129" t="s">
        <v>45</v>
      </c>
      <c r="F1067" s="136" t="s">
        <v>821</v>
      </c>
      <c r="G1067" s="131" t="s">
        <v>573</v>
      </c>
      <c r="H1067" s="168"/>
      <c r="I1067" s="168"/>
      <c r="J1067" s="168"/>
      <c r="K1067" s="168"/>
      <c r="L1067" s="170">
        <f>SUM(L1068)</f>
        <v>2000</v>
      </c>
      <c r="M1067" s="133">
        <v>10000</v>
      </c>
      <c r="N1067" s="134">
        <v>6000</v>
      </c>
    </row>
    <row r="1068" spans="2:14" ht="24">
      <c r="B1068" s="106">
        <v>1013</v>
      </c>
      <c r="C1068" s="117">
        <v>108</v>
      </c>
      <c r="D1068" s="108"/>
      <c r="E1068" s="25"/>
      <c r="F1068" s="25"/>
      <c r="G1068" s="112" t="s">
        <v>574</v>
      </c>
      <c r="H1068" s="112">
        <v>2000</v>
      </c>
      <c r="I1068" s="112">
        <v>1</v>
      </c>
      <c r="J1068" s="112">
        <v>1</v>
      </c>
      <c r="K1068" s="112">
        <v>1</v>
      </c>
      <c r="L1068" s="104">
        <f>H1068*I1068*J1068*K1068</f>
        <v>2000</v>
      </c>
      <c r="M1068" s="111"/>
      <c r="N1068" s="111"/>
    </row>
    <row r="1069" spans="2:14" s="138" customFormat="1" ht="38.25">
      <c r="B1069" s="126">
        <v>1014</v>
      </c>
      <c r="C1069" s="127">
        <v>109</v>
      </c>
      <c r="D1069" s="135" t="s">
        <v>44</v>
      </c>
      <c r="E1069" s="129" t="s">
        <v>822</v>
      </c>
      <c r="F1069" s="136" t="s">
        <v>823</v>
      </c>
      <c r="G1069" s="131" t="s">
        <v>575</v>
      </c>
      <c r="H1069" s="168"/>
      <c r="I1069" s="168"/>
      <c r="J1069" s="168"/>
      <c r="K1069" s="168"/>
      <c r="L1069" s="170">
        <f>SUM(L1070:L1096)</f>
        <v>9830.6575000000012</v>
      </c>
      <c r="M1069" s="133">
        <v>9830.66</v>
      </c>
      <c r="N1069" s="134">
        <v>9830.66</v>
      </c>
    </row>
    <row r="1070" spans="2:14" ht="15.75">
      <c r="B1070" s="106">
        <v>1015</v>
      </c>
      <c r="C1070" s="117">
        <v>109</v>
      </c>
      <c r="D1070" s="108"/>
      <c r="E1070" s="25"/>
      <c r="F1070" s="25"/>
      <c r="G1070" s="110" t="s">
        <v>424</v>
      </c>
      <c r="H1070" s="112" t="s">
        <v>671</v>
      </c>
      <c r="I1070" s="110"/>
      <c r="J1070" s="110"/>
      <c r="K1070" s="110"/>
      <c r="L1070" s="104"/>
      <c r="M1070" s="111"/>
      <c r="N1070" s="111"/>
    </row>
    <row r="1071" spans="2:14" ht="15.75">
      <c r="B1071" s="106">
        <v>1016</v>
      </c>
      <c r="C1071" s="117">
        <v>109</v>
      </c>
      <c r="D1071" s="108"/>
      <c r="E1071" s="25"/>
      <c r="F1071" s="25"/>
      <c r="G1071" s="110" t="s">
        <v>425</v>
      </c>
      <c r="H1071" s="112">
        <v>2500</v>
      </c>
      <c r="I1071" s="110">
        <v>1</v>
      </c>
      <c r="J1071" s="110">
        <v>1</v>
      </c>
      <c r="K1071" s="110">
        <v>1</v>
      </c>
      <c r="L1071" s="104">
        <f t="shared" ref="L1071:L1096" si="68">H1071*I1071*J1071*K1071</f>
        <v>2500</v>
      </c>
      <c r="M1071" s="111"/>
      <c r="N1071" s="111"/>
    </row>
    <row r="1072" spans="2:14" ht="15.75">
      <c r="B1072" s="106">
        <v>1017</v>
      </c>
      <c r="C1072" s="117">
        <v>109</v>
      </c>
      <c r="D1072" s="108"/>
      <c r="E1072" s="25"/>
      <c r="F1072" s="25"/>
      <c r="G1072" s="110" t="s">
        <v>427</v>
      </c>
      <c r="H1072" s="112">
        <v>160</v>
      </c>
      <c r="I1072" s="110">
        <v>1</v>
      </c>
      <c r="J1072" s="110">
        <v>1</v>
      </c>
      <c r="K1072" s="110">
        <v>7</v>
      </c>
      <c r="L1072" s="104">
        <f t="shared" si="68"/>
        <v>1120</v>
      </c>
      <c r="M1072" s="111"/>
      <c r="N1072" s="111"/>
    </row>
    <row r="1073" spans="2:14" ht="15.75">
      <c r="B1073" s="106">
        <v>1018</v>
      </c>
      <c r="C1073" s="117">
        <v>109</v>
      </c>
      <c r="D1073" s="108"/>
      <c r="E1073" s="25"/>
      <c r="F1073" s="25"/>
      <c r="G1073" s="110" t="s">
        <v>576</v>
      </c>
      <c r="H1073" s="112">
        <v>600.04</v>
      </c>
      <c r="I1073" s="110">
        <v>1</v>
      </c>
      <c r="J1073" s="110">
        <v>1</v>
      </c>
      <c r="K1073" s="110">
        <v>1</v>
      </c>
      <c r="L1073" s="104">
        <f t="shared" si="68"/>
        <v>600.04</v>
      </c>
      <c r="M1073" s="111"/>
      <c r="N1073" s="111"/>
    </row>
    <row r="1074" spans="2:14" ht="15.75">
      <c r="B1074" s="106">
        <v>1019</v>
      </c>
      <c r="C1074" s="117">
        <v>109</v>
      </c>
      <c r="D1074" s="108"/>
      <c r="E1074" s="25"/>
      <c r="F1074" s="25"/>
      <c r="G1074" s="110" t="s">
        <v>426</v>
      </c>
      <c r="H1074" s="112">
        <v>38</v>
      </c>
      <c r="I1074" s="110">
        <v>1</v>
      </c>
      <c r="J1074" s="110">
        <v>1</v>
      </c>
      <c r="K1074" s="110">
        <v>4</v>
      </c>
      <c r="L1074" s="104">
        <f t="shared" si="68"/>
        <v>152</v>
      </c>
      <c r="M1074" s="111"/>
      <c r="N1074" s="111"/>
    </row>
    <row r="1075" spans="2:14" ht="15.75">
      <c r="B1075" s="106">
        <v>1020</v>
      </c>
      <c r="C1075" s="117">
        <v>109</v>
      </c>
      <c r="D1075" s="108"/>
      <c r="E1075" s="25"/>
      <c r="F1075" s="25"/>
      <c r="G1075" s="110" t="s">
        <v>541</v>
      </c>
      <c r="H1075" s="112" t="s">
        <v>671</v>
      </c>
      <c r="I1075" s="110"/>
      <c r="J1075" s="110"/>
      <c r="K1075" s="110"/>
      <c r="L1075" s="104"/>
      <c r="M1075" s="111"/>
      <c r="N1075" s="111"/>
    </row>
    <row r="1076" spans="2:14" ht="15.75">
      <c r="B1076" s="106">
        <v>1021</v>
      </c>
      <c r="C1076" s="117">
        <v>109</v>
      </c>
      <c r="D1076" s="108"/>
      <c r="E1076" s="25"/>
      <c r="F1076" s="25"/>
      <c r="G1076" s="112" t="s">
        <v>429</v>
      </c>
      <c r="H1076" s="112">
        <v>4</v>
      </c>
      <c r="I1076" s="110">
        <v>28</v>
      </c>
      <c r="J1076" s="110">
        <v>1</v>
      </c>
      <c r="K1076" s="110">
        <v>5</v>
      </c>
      <c r="L1076" s="104">
        <f t="shared" si="68"/>
        <v>560</v>
      </c>
      <c r="M1076" s="111"/>
      <c r="N1076" s="111"/>
    </row>
    <row r="1077" spans="2:14" ht="15.75">
      <c r="B1077" s="106">
        <v>1022</v>
      </c>
      <c r="C1077" s="117">
        <v>109</v>
      </c>
      <c r="D1077" s="108"/>
      <c r="E1077" s="25"/>
      <c r="F1077" s="25"/>
      <c r="G1077" s="112" t="s">
        <v>430</v>
      </c>
      <c r="H1077" s="112">
        <v>8</v>
      </c>
      <c r="I1077" s="110">
        <v>28</v>
      </c>
      <c r="J1077" s="110">
        <v>1</v>
      </c>
      <c r="K1077" s="110">
        <v>5</v>
      </c>
      <c r="L1077" s="104">
        <f t="shared" si="68"/>
        <v>1120</v>
      </c>
      <c r="M1077" s="111"/>
      <c r="N1077" s="111"/>
    </row>
    <row r="1078" spans="2:14" ht="24">
      <c r="B1078" s="106">
        <v>1023</v>
      </c>
      <c r="C1078" s="117">
        <v>109</v>
      </c>
      <c r="D1078" s="108"/>
      <c r="E1078" s="25"/>
      <c r="F1078" s="25"/>
      <c r="G1078" s="112" t="s">
        <v>431</v>
      </c>
      <c r="H1078" s="112">
        <v>10</v>
      </c>
      <c r="I1078" s="110">
        <v>25</v>
      </c>
      <c r="J1078" s="110">
        <v>1</v>
      </c>
      <c r="K1078" s="110">
        <v>5</v>
      </c>
      <c r="L1078" s="104">
        <f t="shared" si="68"/>
        <v>1250</v>
      </c>
      <c r="M1078" s="111"/>
      <c r="N1078" s="111"/>
    </row>
    <row r="1079" spans="2:14" ht="15.75">
      <c r="B1079" s="106">
        <v>1024</v>
      </c>
      <c r="C1079" s="117">
        <v>109</v>
      </c>
      <c r="D1079" s="108"/>
      <c r="E1079" s="25"/>
      <c r="F1079" s="25"/>
      <c r="G1079" s="112" t="s">
        <v>432</v>
      </c>
      <c r="H1079" s="112">
        <v>8</v>
      </c>
      <c r="I1079" s="110">
        <v>1</v>
      </c>
      <c r="J1079" s="110">
        <v>1</v>
      </c>
      <c r="K1079" s="110">
        <v>5</v>
      </c>
      <c r="L1079" s="104">
        <f t="shared" si="68"/>
        <v>40</v>
      </c>
      <c r="M1079" s="111"/>
      <c r="N1079" s="111"/>
    </row>
    <row r="1080" spans="2:14" ht="15.75">
      <c r="B1080" s="106">
        <v>1025</v>
      </c>
      <c r="C1080" s="117">
        <v>109</v>
      </c>
      <c r="D1080" s="108"/>
      <c r="E1080" s="25"/>
      <c r="F1080" s="25"/>
      <c r="G1080" s="112" t="s">
        <v>433</v>
      </c>
      <c r="H1080" s="112">
        <v>10</v>
      </c>
      <c r="I1080" s="110">
        <v>1</v>
      </c>
      <c r="J1080" s="110">
        <v>1</v>
      </c>
      <c r="K1080" s="110">
        <v>5</v>
      </c>
      <c r="L1080" s="104">
        <f t="shared" si="68"/>
        <v>50</v>
      </c>
      <c r="M1080" s="111"/>
      <c r="N1080" s="111"/>
    </row>
    <row r="1081" spans="2:14" ht="15.75">
      <c r="B1081" s="106">
        <v>1026</v>
      </c>
      <c r="C1081" s="117">
        <v>109</v>
      </c>
      <c r="D1081" s="108"/>
      <c r="E1081" s="25"/>
      <c r="F1081" s="25"/>
      <c r="G1081" s="112" t="s">
        <v>434</v>
      </c>
      <c r="H1081" s="112">
        <v>10</v>
      </c>
      <c r="I1081" s="110">
        <v>25</v>
      </c>
      <c r="J1081" s="110">
        <v>1</v>
      </c>
      <c r="K1081" s="110">
        <v>1</v>
      </c>
      <c r="L1081" s="104">
        <f t="shared" si="68"/>
        <v>250</v>
      </c>
      <c r="M1081" s="111"/>
      <c r="N1081" s="111"/>
    </row>
    <row r="1082" spans="2:14" ht="15.75">
      <c r="B1082" s="106">
        <v>1027</v>
      </c>
      <c r="C1082" s="117">
        <v>109</v>
      </c>
      <c r="D1082" s="108"/>
      <c r="E1082" s="25"/>
      <c r="F1082" s="25"/>
      <c r="G1082" s="112" t="s">
        <v>435</v>
      </c>
      <c r="H1082" s="112">
        <v>70</v>
      </c>
      <c r="I1082" s="110">
        <v>1</v>
      </c>
      <c r="J1082" s="110">
        <v>1</v>
      </c>
      <c r="K1082" s="110">
        <v>5</v>
      </c>
      <c r="L1082" s="104">
        <f t="shared" si="68"/>
        <v>350</v>
      </c>
      <c r="M1082" s="111"/>
      <c r="N1082" s="111"/>
    </row>
    <row r="1083" spans="2:14" ht="15.75">
      <c r="B1083" s="106">
        <v>1028</v>
      </c>
      <c r="C1083" s="117">
        <v>109</v>
      </c>
      <c r="D1083" s="108"/>
      <c r="E1083" s="25"/>
      <c r="F1083" s="25"/>
      <c r="G1083" s="112" t="s">
        <v>436</v>
      </c>
      <c r="H1083" s="112">
        <v>0.88</v>
      </c>
      <c r="I1083" s="110">
        <v>1</v>
      </c>
      <c r="J1083" s="110">
        <v>1</v>
      </c>
      <c r="K1083" s="110">
        <v>1</v>
      </c>
      <c r="L1083" s="104">
        <f t="shared" si="68"/>
        <v>0.88</v>
      </c>
      <c r="M1083" s="111"/>
      <c r="N1083" s="111"/>
    </row>
    <row r="1084" spans="2:14" ht="15.75">
      <c r="B1084" s="106">
        <v>1029</v>
      </c>
      <c r="C1084" s="117">
        <v>109</v>
      </c>
      <c r="D1084" s="108"/>
      <c r="E1084" s="25"/>
      <c r="F1084" s="25"/>
      <c r="G1084" s="112" t="s">
        <v>437</v>
      </c>
      <c r="H1084" s="112">
        <v>23.48</v>
      </c>
      <c r="I1084" s="110">
        <v>1</v>
      </c>
      <c r="J1084" s="110">
        <v>1</v>
      </c>
      <c r="K1084" s="110">
        <v>1</v>
      </c>
      <c r="L1084" s="104">
        <f t="shared" si="68"/>
        <v>23.48</v>
      </c>
      <c r="M1084" s="111"/>
      <c r="N1084" s="111"/>
    </row>
    <row r="1085" spans="2:14" ht="15.75">
      <c r="B1085" s="106">
        <v>1030</v>
      </c>
      <c r="C1085" s="117">
        <v>109</v>
      </c>
      <c r="D1085" s="108"/>
      <c r="E1085" s="25"/>
      <c r="F1085" s="25"/>
      <c r="G1085" s="112" t="s">
        <v>438</v>
      </c>
      <c r="H1085" s="112">
        <v>0.59</v>
      </c>
      <c r="I1085" s="110">
        <v>1</v>
      </c>
      <c r="J1085" s="110">
        <v>1</v>
      </c>
      <c r="K1085" s="110">
        <v>1</v>
      </c>
      <c r="L1085" s="104">
        <f t="shared" si="68"/>
        <v>0.59</v>
      </c>
      <c r="M1085" s="111"/>
      <c r="N1085" s="111"/>
    </row>
    <row r="1086" spans="2:14" ht="15.75">
      <c r="B1086" s="106">
        <v>1031</v>
      </c>
      <c r="C1086" s="117">
        <v>109</v>
      </c>
      <c r="D1086" s="108"/>
      <c r="E1086" s="25"/>
      <c r="F1086" s="25"/>
      <c r="G1086" s="112" t="s">
        <v>439</v>
      </c>
      <c r="H1086" s="112">
        <v>135</v>
      </c>
      <c r="I1086" s="110">
        <v>1</v>
      </c>
      <c r="J1086" s="110">
        <v>1</v>
      </c>
      <c r="K1086" s="110">
        <v>7</v>
      </c>
      <c r="L1086" s="104">
        <f t="shared" si="68"/>
        <v>945</v>
      </c>
      <c r="M1086" s="111"/>
      <c r="N1086" s="111"/>
    </row>
    <row r="1087" spans="2:14" ht="15.75">
      <c r="B1087" s="106">
        <v>1032</v>
      </c>
      <c r="C1087" s="117">
        <v>109</v>
      </c>
      <c r="D1087" s="108"/>
      <c r="E1087" s="25"/>
      <c r="F1087" s="25"/>
      <c r="G1087" s="112" t="s">
        <v>440</v>
      </c>
      <c r="H1087" s="112">
        <v>260</v>
      </c>
      <c r="I1087" s="110">
        <v>1</v>
      </c>
      <c r="J1087" s="110">
        <v>1</v>
      </c>
      <c r="K1087" s="110">
        <v>1</v>
      </c>
      <c r="L1087" s="104">
        <f t="shared" si="68"/>
        <v>260</v>
      </c>
      <c r="M1087" s="111"/>
      <c r="N1087" s="111"/>
    </row>
    <row r="1088" spans="2:14" ht="15.75">
      <c r="B1088" s="106">
        <v>1033</v>
      </c>
      <c r="C1088" s="117">
        <v>109</v>
      </c>
      <c r="D1088" s="108"/>
      <c r="E1088" s="25"/>
      <c r="F1088" s="25"/>
      <c r="G1088" s="110" t="s">
        <v>441</v>
      </c>
      <c r="H1088" s="112" t="s">
        <v>671</v>
      </c>
      <c r="I1088" s="110"/>
      <c r="J1088" s="110"/>
      <c r="K1088" s="110"/>
      <c r="L1088" s="104"/>
      <c r="M1088" s="111"/>
      <c r="N1088" s="111"/>
    </row>
    <row r="1089" spans="2:14" ht="15.75">
      <c r="B1089" s="106">
        <v>1034</v>
      </c>
      <c r="C1089" s="117">
        <v>109</v>
      </c>
      <c r="D1089" s="108"/>
      <c r="E1089" s="25"/>
      <c r="F1089" s="25"/>
      <c r="G1089" s="112" t="s">
        <v>442</v>
      </c>
      <c r="H1089" s="112">
        <v>6</v>
      </c>
      <c r="I1089" s="110">
        <v>35</v>
      </c>
      <c r="J1089" s="110">
        <v>1</v>
      </c>
      <c r="K1089" s="110">
        <v>1</v>
      </c>
      <c r="L1089" s="104">
        <f t="shared" si="68"/>
        <v>210</v>
      </c>
      <c r="M1089" s="111"/>
      <c r="N1089" s="111"/>
    </row>
    <row r="1090" spans="2:14" ht="15.75">
      <c r="B1090" s="106">
        <v>1035</v>
      </c>
      <c r="C1090" s="117">
        <v>109</v>
      </c>
      <c r="D1090" s="108"/>
      <c r="E1090" s="25"/>
      <c r="F1090" s="25"/>
      <c r="G1090" s="112" t="s">
        <v>435</v>
      </c>
      <c r="H1090" s="112">
        <v>70</v>
      </c>
      <c r="I1090" s="110">
        <v>1</v>
      </c>
      <c r="J1090" s="110">
        <v>1</v>
      </c>
      <c r="K1090" s="110">
        <v>1</v>
      </c>
      <c r="L1090" s="104">
        <f t="shared" si="68"/>
        <v>70</v>
      </c>
      <c r="M1090" s="111"/>
      <c r="N1090" s="111"/>
    </row>
    <row r="1091" spans="2:14" ht="15.75">
      <c r="B1091" s="106">
        <v>1036</v>
      </c>
      <c r="C1091" s="117">
        <v>109</v>
      </c>
      <c r="D1091" s="108"/>
      <c r="E1091" s="25"/>
      <c r="F1091" s="25"/>
      <c r="G1091" s="112" t="s">
        <v>443</v>
      </c>
      <c r="H1091" s="112">
        <v>8.33</v>
      </c>
      <c r="I1091" s="112">
        <v>1.75</v>
      </c>
      <c r="J1091" s="110">
        <v>1</v>
      </c>
      <c r="K1091" s="110">
        <v>1</v>
      </c>
      <c r="L1091" s="104">
        <f t="shared" si="68"/>
        <v>14.577500000000001</v>
      </c>
      <c r="M1091" s="111"/>
      <c r="N1091" s="111"/>
    </row>
    <row r="1092" spans="2:14" ht="15.75">
      <c r="B1092" s="106">
        <v>1037</v>
      </c>
      <c r="C1092" s="117">
        <v>109</v>
      </c>
      <c r="D1092" s="108"/>
      <c r="E1092" s="25"/>
      <c r="F1092" s="25"/>
      <c r="G1092" s="112" t="s">
        <v>444</v>
      </c>
      <c r="H1092" s="112">
        <v>1.1100000000000001</v>
      </c>
      <c r="I1092" s="110">
        <v>35</v>
      </c>
      <c r="J1092" s="110">
        <v>1</v>
      </c>
      <c r="K1092" s="110">
        <v>1</v>
      </c>
      <c r="L1092" s="104">
        <f t="shared" si="68"/>
        <v>38.85</v>
      </c>
      <c r="M1092" s="111"/>
      <c r="N1092" s="111"/>
    </row>
    <row r="1093" spans="2:14" ht="15.75">
      <c r="B1093" s="106">
        <v>1038</v>
      </c>
      <c r="C1093" s="117">
        <v>109</v>
      </c>
      <c r="D1093" s="108"/>
      <c r="E1093" s="25"/>
      <c r="F1093" s="25"/>
      <c r="G1093" s="112" t="s">
        <v>445</v>
      </c>
      <c r="H1093" s="112">
        <v>0.56000000000000005</v>
      </c>
      <c r="I1093" s="110">
        <v>70</v>
      </c>
      <c r="J1093" s="110">
        <v>1</v>
      </c>
      <c r="K1093" s="110">
        <v>1</v>
      </c>
      <c r="L1093" s="104">
        <f t="shared" si="68"/>
        <v>39.200000000000003</v>
      </c>
      <c r="M1093" s="111"/>
      <c r="N1093" s="111"/>
    </row>
    <row r="1094" spans="2:14" ht="24">
      <c r="B1094" s="106">
        <v>1039</v>
      </c>
      <c r="C1094" s="117">
        <v>109</v>
      </c>
      <c r="D1094" s="108"/>
      <c r="E1094" s="25"/>
      <c r="F1094" s="25"/>
      <c r="G1094" s="112" t="s">
        <v>542</v>
      </c>
      <c r="H1094" s="112">
        <v>167</v>
      </c>
      <c r="I1094" s="110">
        <v>1</v>
      </c>
      <c r="J1094" s="110">
        <v>1</v>
      </c>
      <c r="K1094" s="110">
        <v>1</v>
      </c>
      <c r="L1094" s="104">
        <f t="shared" si="68"/>
        <v>167</v>
      </c>
      <c r="M1094" s="111"/>
      <c r="N1094" s="111"/>
    </row>
    <row r="1095" spans="2:14" ht="15.75">
      <c r="B1095" s="106">
        <v>1040</v>
      </c>
      <c r="C1095" s="117">
        <v>109</v>
      </c>
      <c r="D1095" s="108"/>
      <c r="E1095" s="25"/>
      <c r="F1095" s="25"/>
      <c r="G1095" s="110" t="s">
        <v>446</v>
      </c>
      <c r="H1095" s="112">
        <v>16.670000000000002</v>
      </c>
      <c r="I1095" s="110">
        <v>2</v>
      </c>
      <c r="J1095" s="110">
        <v>1</v>
      </c>
      <c r="K1095" s="110">
        <v>1</v>
      </c>
      <c r="L1095" s="104">
        <f t="shared" si="68"/>
        <v>33.340000000000003</v>
      </c>
      <c r="M1095" s="111"/>
      <c r="N1095" s="111"/>
    </row>
    <row r="1096" spans="2:14" ht="15.75">
      <c r="B1096" s="106">
        <v>1041</v>
      </c>
      <c r="C1096" s="117">
        <v>109</v>
      </c>
      <c r="D1096" s="108"/>
      <c r="E1096" s="25"/>
      <c r="F1096" s="25"/>
      <c r="G1096" s="110" t="s">
        <v>447</v>
      </c>
      <c r="H1096" s="112">
        <v>1.19</v>
      </c>
      <c r="I1096" s="110">
        <v>10</v>
      </c>
      <c r="J1096" s="110">
        <v>1</v>
      </c>
      <c r="K1096" s="110">
        <v>3</v>
      </c>
      <c r="L1096" s="104">
        <f t="shared" si="68"/>
        <v>35.699999999999996</v>
      </c>
      <c r="M1096" s="111"/>
      <c r="N1096" s="111"/>
    </row>
    <row r="1097" spans="2:14" s="138" customFormat="1" ht="25.5">
      <c r="B1097" s="126">
        <v>1042</v>
      </c>
      <c r="C1097" s="127">
        <v>110</v>
      </c>
      <c r="D1097" s="135" t="s">
        <v>40</v>
      </c>
      <c r="E1097" s="129" t="s">
        <v>39</v>
      </c>
      <c r="F1097" s="136" t="s">
        <v>824</v>
      </c>
      <c r="G1097" s="131" t="s">
        <v>634</v>
      </c>
      <c r="H1097" s="168"/>
      <c r="I1097" s="168"/>
      <c r="J1097" s="168"/>
      <c r="K1097" s="168"/>
      <c r="L1097" s="170">
        <f>SUM(L1098:L1109)</f>
        <v>2070.59</v>
      </c>
      <c r="M1097" s="133">
        <v>2070.59</v>
      </c>
      <c r="N1097" s="134">
        <v>2070.59</v>
      </c>
    </row>
    <row r="1098" spans="2:14" ht="15.75">
      <c r="B1098" s="106">
        <v>1043</v>
      </c>
      <c r="C1098" s="117">
        <v>110</v>
      </c>
      <c r="D1098" s="108"/>
      <c r="E1098" s="25"/>
      <c r="F1098" s="25"/>
      <c r="G1098" s="112" t="s">
        <v>453</v>
      </c>
      <c r="H1098" s="112">
        <v>25</v>
      </c>
      <c r="I1098" s="110">
        <v>1</v>
      </c>
      <c r="J1098" s="110">
        <v>1</v>
      </c>
      <c r="K1098" s="112">
        <v>3</v>
      </c>
      <c r="L1098" s="104">
        <f t="shared" ref="L1098:L1158" si="69">H1098*I1098*J1098*K1098</f>
        <v>75</v>
      </c>
      <c r="M1098" s="111"/>
      <c r="N1098" s="111"/>
    </row>
    <row r="1099" spans="2:14" ht="15.75">
      <c r="B1099" s="106">
        <v>1044</v>
      </c>
      <c r="C1099" s="117">
        <v>110</v>
      </c>
      <c r="D1099" s="108"/>
      <c r="E1099" s="25"/>
      <c r="F1099" s="25"/>
      <c r="G1099" s="112" t="s">
        <v>568</v>
      </c>
      <c r="H1099" s="112">
        <v>4</v>
      </c>
      <c r="I1099" s="110">
        <v>17</v>
      </c>
      <c r="J1099" s="110">
        <v>1</v>
      </c>
      <c r="K1099" s="112">
        <v>3</v>
      </c>
      <c r="L1099" s="104">
        <f t="shared" si="69"/>
        <v>204</v>
      </c>
      <c r="M1099" s="111"/>
      <c r="N1099" s="111"/>
    </row>
    <row r="1100" spans="2:14" ht="15.75">
      <c r="B1100" s="106">
        <v>1045</v>
      </c>
      <c r="C1100" s="117">
        <v>110</v>
      </c>
      <c r="D1100" s="108"/>
      <c r="E1100" s="25"/>
      <c r="F1100" s="25"/>
      <c r="G1100" s="112" t="s">
        <v>569</v>
      </c>
      <c r="H1100" s="112">
        <v>8</v>
      </c>
      <c r="I1100" s="110">
        <v>17</v>
      </c>
      <c r="J1100" s="110">
        <v>1</v>
      </c>
      <c r="K1100" s="112">
        <v>3</v>
      </c>
      <c r="L1100" s="104">
        <f t="shared" si="69"/>
        <v>408</v>
      </c>
      <c r="M1100" s="111"/>
      <c r="N1100" s="111"/>
    </row>
    <row r="1101" spans="2:14" ht="24">
      <c r="B1101" s="106">
        <v>1046</v>
      </c>
      <c r="C1101" s="117">
        <v>110</v>
      </c>
      <c r="D1101" s="108"/>
      <c r="E1101" s="25"/>
      <c r="F1101" s="25"/>
      <c r="G1101" s="112" t="s">
        <v>570</v>
      </c>
      <c r="H1101" s="112">
        <v>10</v>
      </c>
      <c r="I1101" s="110">
        <v>15</v>
      </c>
      <c r="J1101" s="110">
        <v>1</v>
      </c>
      <c r="K1101" s="112">
        <v>3</v>
      </c>
      <c r="L1101" s="104">
        <f t="shared" si="69"/>
        <v>450</v>
      </c>
      <c r="M1101" s="111"/>
      <c r="N1101" s="111"/>
    </row>
    <row r="1102" spans="2:14" ht="15.75">
      <c r="B1102" s="106">
        <v>1047</v>
      </c>
      <c r="C1102" s="117">
        <v>110</v>
      </c>
      <c r="D1102" s="108"/>
      <c r="E1102" s="25"/>
      <c r="F1102" s="25"/>
      <c r="G1102" s="112" t="s">
        <v>432</v>
      </c>
      <c r="H1102" s="112">
        <v>8</v>
      </c>
      <c r="I1102" s="110">
        <v>1</v>
      </c>
      <c r="J1102" s="110">
        <v>1</v>
      </c>
      <c r="K1102" s="112">
        <v>3</v>
      </c>
      <c r="L1102" s="104">
        <f t="shared" si="69"/>
        <v>24</v>
      </c>
      <c r="M1102" s="111"/>
      <c r="N1102" s="111"/>
    </row>
    <row r="1103" spans="2:14" ht="15.75">
      <c r="B1103" s="106">
        <v>1048</v>
      </c>
      <c r="C1103" s="117">
        <v>110</v>
      </c>
      <c r="D1103" s="108"/>
      <c r="E1103" s="25"/>
      <c r="F1103" s="25"/>
      <c r="G1103" s="112" t="s">
        <v>434</v>
      </c>
      <c r="H1103" s="112">
        <v>10</v>
      </c>
      <c r="I1103" s="110">
        <v>15</v>
      </c>
      <c r="J1103" s="110">
        <v>1</v>
      </c>
      <c r="K1103" s="112">
        <v>1</v>
      </c>
      <c r="L1103" s="104">
        <f t="shared" si="69"/>
        <v>150</v>
      </c>
      <c r="M1103" s="111"/>
      <c r="N1103" s="111"/>
    </row>
    <row r="1104" spans="2:14" ht="15.75">
      <c r="B1104" s="106">
        <v>1049</v>
      </c>
      <c r="C1104" s="117">
        <v>110</v>
      </c>
      <c r="D1104" s="108"/>
      <c r="E1104" s="25"/>
      <c r="F1104" s="25"/>
      <c r="G1104" s="112" t="s">
        <v>435</v>
      </c>
      <c r="H1104" s="112">
        <v>70</v>
      </c>
      <c r="I1104" s="110">
        <v>1</v>
      </c>
      <c r="J1104" s="110">
        <v>1</v>
      </c>
      <c r="K1104" s="112">
        <v>3</v>
      </c>
      <c r="L1104" s="104">
        <f t="shared" si="69"/>
        <v>210</v>
      </c>
      <c r="M1104" s="111"/>
      <c r="N1104" s="111"/>
    </row>
    <row r="1105" spans="2:14" ht="15.75">
      <c r="B1105" s="106">
        <v>1050</v>
      </c>
      <c r="C1105" s="117">
        <v>110</v>
      </c>
      <c r="D1105" s="108"/>
      <c r="E1105" s="25"/>
      <c r="F1105" s="25"/>
      <c r="G1105" s="112" t="s">
        <v>443</v>
      </c>
      <c r="H1105" s="112">
        <v>8.33</v>
      </c>
      <c r="I1105" s="110">
        <v>3</v>
      </c>
      <c r="J1105" s="110">
        <v>1</v>
      </c>
      <c r="K1105" s="112">
        <v>1</v>
      </c>
      <c r="L1105" s="104">
        <f t="shared" si="69"/>
        <v>24.990000000000002</v>
      </c>
      <c r="M1105" s="111"/>
      <c r="N1105" s="111"/>
    </row>
    <row r="1106" spans="2:14" ht="15.75">
      <c r="B1106" s="106">
        <v>1051</v>
      </c>
      <c r="C1106" s="117">
        <v>110</v>
      </c>
      <c r="D1106" s="108"/>
      <c r="E1106" s="25"/>
      <c r="F1106" s="25"/>
      <c r="G1106" s="112" t="s">
        <v>464</v>
      </c>
      <c r="H1106" s="112">
        <v>305.56</v>
      </c>
      <c r="I1106" s="112">
        <v>1</v>
      </c>
      <c r="J1106" s="110">
        <v>1</v>
      </c>
      <c r="K1106" s="112">
        <v>1</v>
      </c>
      <c r="L1106" s="104">
        <f t="shared" si="69"/>
        <v>305.56</v>
      </c>
      <c r="M1106" s="111"/>
      <c r="N1106" s="111"/>
    </row>
    <row r="1107" spans="2:14" ht="15.75">
      <c r="B1107" s="106">
        <v>1052</v>
      </c>
      <c r="C1107" s="117">
        <v>110</v>
      </c>
      <c r="D1107" s="108"/>
      <c r="E1107" s="25"/>
      <c r="F1107" s="25"/>
      <c r="G1107" s="112" t="s">
        <v>465</v>
      </c>
      <c r="H1107" s="112">
        <v>166.67</v>
      </c>
      <c r="I1107" s="112">
        <v>1</v>
      </c>
      <c r="J1107" s="110">
        <v>1</v>
      </c>
      <c r="K1107" s="112">
        <v>1</v>
      </c>
      <c r="L1107" s="104">
        <f t="shared" si="69"/>
        <v>166.67</v>
      </c>
      <c r="M1107" s="111"/>
      <c r="N1107" s="111"/>
    </row>
    <row r="1108" spans="2:14" ht="15.75">
      <c r="B1108" s="106">
        <v>1053</v>
      </c>
      <c r="C1108" s="107">
        <v>110</v>
      </c>
      <c r="D1108" s="108"/>
      <c r="E1108" s="25"/>
      <c r="F1108" s="25"/>
      <c r="G1108" s="112" t="s">
        <v>447</v>
      </c>
      <c r="H1108" s="112">
        <v>1.19</v>
      </c>
      <c r="I1108" s="112">
        <v>10</v>
      </c>
      <c r="J1108" s="110">
        <v>1</v>
      </c>
      <c r="K1108" s="112">
        <v>3</v>
      </c>
      <c r="L1108" s="104">
        <f t="shared" si="69"/>
        <v>35.699999999999996</v>
      </c>
      <c r="M1108" s="111"/>
      <c r="N1108" s="111"/>
    </row>
    <row r="1109" spans="2:14" ht="15.75">
      <c r="B1109" s="106">
        <v>1054</v>
      </c>
      <c r="C1109" s="107">
        <v>110</v>
      </c>
      <c r="D1109" s="108"/>
      <c r="E1109" s="25"/>
      <c r="F1109" s="25"/>
      <c r="G1109" s="112" t="s">
        <v>459</v>
      </c>
      <c r="H1109" s="112">
        <v>16.670000000000002</v>
      </c>
      <c r="I1109" s="112">
        <v>1</v>
      </c>
      <c r="J1109" s="110">
        <v>1</v>
      </c>
      <c r="K1109" s="112">
        <v>1</v>
      </c>
      <c r="L1109" s="104">
        <f t="shared" si="69"/>
        <v>16.670000000000002</v>
      </c>
      <c r="M1109" s="111"/>
      <c r="N1109" s="111"/>
    </row>
    <row r="1110" spans="2:14" s="138" customFormat="1" ht="63.75">
      <c r="B1110" s="126">
        <v>1055</v>
      </c>
      <c r="C1110" s="127">
        <v>111</v>
      </c>
      <c r="D1110" s="146" t="s">
        <v>38</v>
      </c>
      <c r="E1110" s="147" t="s">
        <v>825</v>
      </c>
      <c r="F1110" s="130" t="s">
        <v>826</v>
      </c>
      <c r="G1110" s="131" t="s">
        <v>642</v>
      </c>
      <c r="H1110" s="168"/>
      <c r="I1110" s="168"/>
      <c r="J1110" s="168"/>
      <c r="K1110" s="168"/>
      <c r="L1110" s="181">
        <f>SUM(L1111:L1137)</f>
        <v>42999.999999999993</v>
      </c>
      <c r="M1110" s="166">
        <v>43000</v>
      </c>
      <c r="N1110" s="134">
        <v>53039.56</v>
      </c>
    </row>
    <row r="1111" spans="2:14" s="156" customFormat="1" ht="15.75">
      <c r="B1111" s="182"/>
      <c r="C1111" s="100"/>
      <c r="D1111" s="115"/>
      <c r="E1111" s="116"/>
      <c r="F1111" s="102"/>
      <c r="G1111" s="183" t="s">
        <v>879</v>
      </c>
      <c r="H1111" s="25">
        <f>5000-723.36</f>
        <v>4276.6400000000003</v>
      </c>
      <c r="I1111" s="25">
        <v>1</v>
      </c>
      <c r="J1111" s="25">
        <v>1</v>
      </c>
      <c r="K1111" s="25">
        <v>1</v>
      </c>
      <c r="L1111" s="104">
        <f t="shared" si="69"/>
        <v>4276.6400000000003</v>
      </c>
      <c r="M1111" s="184"/>
      <c r="N1111" s="105"/>
    </row>
    <row r="1112" spans="2:14" s="156" customFormat="1" ht="15.75">
      <c r="B1112" s="182"/>
      <c r="C1112" s="100"/>
      <c r="D1112" s="115"/>
      <c r="E1112" s="116"/>
      <c r="F1112" s="102"/>
      <c r="G1112" s="183" t="s">
        <v>880</v>
      </c>
      <c r="H1112" s="25">
        <v>10000</v>
      </c>
      <c r="I1112" s="25">
        <v>1</v>
      </c>
      <c r="J1112" s="25">
        <v>1</v>
      </c>
      <c r="K1112" s="25">
        <v>1</v>
      </c>
      <c r="L1112" s="104">
        <f t="shared" si="69"/>
        <v>10000</v>
      </c>
      <c r="M1112" s="184"/>
      <c r="N1112" s="105"/>
    </row>
    <row r="1113" spans="2:14" s="156" customFormat="1" ht="15.75">
      <c r="B1113" s="182"/>
      <c r="C1113" s="100"/>
      <c r="D1113" s="115"/>
      <c r="E1113" s="116"/>
      <c r="F1113" s="102"/>
      <c r="G1113" s="183" t="s">
        <v>427</v>
      </c>
      <c r="H1113" s="25">
        <f>350</f>
        <v>350</v>
      </c>
      <c r="I1113" s="25">
        <v>1</v>
      </c>
      <c r="J1113" s="25">
        <v>1</v>
      </c>
      <c r="K1113" s="25">
        <v>7</v>
      </c>
      <c r="L1113" s="104">
        <f t="shared" si="69"/>
        <v>2450</v>
      </c>
      <c r="M1113" s="184"/>
      <c r="N1113" s="105"/>
    </row>
    <row r="1114" spans="2:14" s="156" customFormat="1" ht="15.75">
      <c r="B1114" s="182"/>
      <c r="C1114" s="100"/>
      <c r="D1114" s="115"/>
      <c r="E1114" s="116"/>
      <c r="F1114" s="102"/>
      <c r="G1114" s="183" t="s">
        <v>881</v>
      </c>
      <c r="H1114" s="25">
        <v>38</v>
      </c>
      <c r="I1114" s="25">
        <v>1</v>
      </c>
      <c r="J1114" s="25">
        <v>1</v>
      </c>
      <c r="K1114" s="25">
        <v>1</v>
      </c>
      <c r="L1114" s="104">
        <f t="shared" si="69"/>
        <v>38</v>
      </c>
      <c r="M1114" s="184"/>
      <c r="N1114" s="105"/>
    </row>
    <row r="1115" spans="2:14" s="156" customFormat="1" ht="15.75">
      <c r="B1115" s="182"/>
      <c r="C1115" s="100"/>
      <c r="D1115" s="115"/>
      <c r="E1115" s="116"/>
      <c r="F1115" s="102"/>
      <c r="G1115" s="103"/>
      <c r="H1115" s="25"/>
      <c r="I1115" s="25">
        <v>1</v>
      </c>
      <c r="J1115" s="25">
        <v>1</v>
      </c>
      <c r="K1115" s="25">
        <v>1</v>
      </c>
      <c r="L1115" s="104">
        <f t="shared" si="69"/>
        <v>0</v>
      </c>
      <c r="M1115" s="184"/>
      <c r="N1115" s="105"/>
    </row>
    <row r="1116" spans="2:14" ht="15.75">
      <c r="B1116" s="106">
        <v>1056</v>
      </c>
      <c r="C1116" s="107">
        <v>111</v>
      </c>
      <c r="D1116" s="108"/>
      <c r="E1116" s="25"/>
      <c r="F1116" s="25"/>
      <c r="G1116" s="112" t="s">
        <v>453</v>
      </c>
      <c r="H1116" s="112">
        <v>25</v>
      </c>
      <c r="I1116" s="110">
        <v>2</v>
      </c>
      <c r="J1116" s="110">
        <v>1</v>
      </c>
      <c r="K1116" s="112">
        <v>15</v>
      </c>
      <c r="L1116" s="104">
        <f t="shared" si="69"/>
        <v>750</v>
      </c>
      <c r="M1116" s="111"/>
      <c r="N1116" s="111"/>
    </row>
    <row r="1117" spans="2:14" ht="15.75">
      <c r="B1117" s="106">
        <v>1057</v>
      </c>
      <c r="C1117" s="107">
        <v>111</v>
      </c>
      <c r="D1117" s="108"/>
      <c r="E1117" s="25"/>
      <c r="F1117" s="25"/>
      <c r="G1117" s="112" t="s">
        <v>429</v>
      </c>
      <c r="H1117" s="112">
        <v>4</v>
      </c>
      <c r="I1117" s="110">
        <v>28</v>
      </c>
      <c r="J1117" s="110">
        <v>1</v>
      </c>
      <c r="K1117" s="112">
        <v>15</v>
      </c>
      <c r="L1117" s="104">
        <f t="shared" si="69"/>
        <v>1680</v>
      </c>
      <c r="M1117" s="111"/>
      <c r="N1117" s="111"/>
    </row>
    <row r="1118" spans="2:14" ht="15.75">
      <c r="B1118" s="106">
        <v>1058</v>
      </c>
      <c r="C1118" s="107">
        <v>111</v>
      </c>
      <c r="D1118" s="108"/>
      <c r="E1118" s="25"/>
      <c r="F1118" s="25"/>
      <c r="G1118" s="112" t="s">
        <v>430</v>
      </c>
      <c r="H1118" s="112">
        <v>8</v>
      </c>
      <c r="I1118" s="110">
        <v>28</v>
      </c>
      <c r="J1118" s="110">
        <v>1</v>
      </c>
      <c r="K1118" s="112">
        <v>15</v>
      </c>
      <c r="L1118" s="104">
        <f t="shared" si="69"/>
        <v>3360</v>
      </c>
      <c r="M1118" s="111"/>
      <c r="N1118" s="111"/>
    </row>
    <row r="1119" spans="2:14" ht="24">
      <c r="B1119" s="106">
        <v>1059</v>
      </c>
      <c r="C1119" s="107">
        <v>111</v>
      </c>
      <c r="D1119" s="108"/>
      <c r="E1119" s="25"/>
      <c r="F1119" s="25"/>
      <c r="G1119" s="112" t="s">
        <v>431</v>
      </c>
      <c r="H1119" s="112">
        <v>25</v>
      </c>
      <c r="I1119" s="110">
        <v>24</v>
      </c>
      <c r="J1119" s="110">
        <v>1</v>
      </c>
      <c r="K1119" s="112">
        <v>15</v>
      </c>
      <c r="L1119" s="104">
        <f t="shared" si="69"/>
        <v>9000</v>
      </c>
      <c r="M1119" s="111"/>
      <c r="N1119" s="111"/>
    </row>
    <row r="1120" spans="2:14" ht="15.75">
      <c r="B1120" s="106">
        <v>1060</v>
      </c>
      <c r="C1120" s="107">
        <v>111</v>
      </c>
      <c r="D1120" s="108"/>
      <c r="E1120" s="25"/>
      <c r="F1120" s="25"/>
      <c r="G1120" s="112" t="s">
        <v>432</v>
      </c>
      <c r="H1120" s="112">
        <v>10</v>
      </c>
      <c r="I1120" s="110">
        <v>1</v>
      </c>
      <c r="J1120" s="110">
        <v>1</v>
      </c>
      <c r="K1120" s="112">
        <v>15</v>
      </c>
      <c r="L1120" s="104">
        <f t="shared" si="69"/>
        <v>150</v>
      </c>
      <c r="M1120" s="111"/>
      <c r="N1120" s="111"/>
    </row>
    <row r="1121" spans="2:14" ht="15.75">
      <c r="B1121" s="106">
        <v>1061</v>
      </c>
      <c r="C1121" s="107">
        <v>111</v>
      </c>
      <c r="D1121" s="108"/>
      <c r="E1121" s="25"/>
      <c r="F1121" s="25"/>
      <c r="G1121" s="112" t="s">
        <v>434</v>
      </c>
      <c r="H1121" s="112">
        <v>25</v>
      </c>
      <c r="I1121" s="110">
        <v>25</v>
      </c>
      <c r="J1121" s="110">
        <v>1</v>
      </c>
      <c r="K1121" s="112">
        <v>1</v>
      </c>
      <c r="L1121" s="104">
        <f t="shared" si="69"/>
        <v>625</v>
      </c>
      <c r="M1121" s="111"/>
      <c r="N1121" s="111"/>
    </row>
    <row r="1122" spans="2:14" ht="15.75">
      <c r="B1122" s="106">
        <v>1062</v>
      </c>
      <c r="C1122" s="107">
        <v>111</v>
      </c>
      <c r="D1122" s="108"/>
      <c r="E1122" s="25"/>
      <c r="F1122" s="25"/>
      <c r="G1122" s="112" t="s">
        <v>435</v>
      </c>
      <c r="H1122" s="112">
        <v>70</v>
      </c>
      <c r="I1122" s="110">
        <v>1</v>
      </c>
      <c r="J1122" s="110">
        <v>1</v>
      </c>
      <c r="K1122" s="112">
        <v>15</v>
      </c>
      <c r="L1122" s="104">
        <f t="shared" si="69"/>
        <v>1050</v>
      </c>
      <c r="M1122" s="111"/>
      <c r="N1122" s="111"/>
    </row>
    <row r="1123" spans="2:14" ht="15.75">
      <c r="B1123" s="106">
        <v>1063</v>
      </c>
      <c r="C1123" s="107">
        <v>111</v>
      </c>
      <c r="D1123" s="108"/>
      <c r="E1123" s="25"/>
      <c r="F1123" s="25"/>
      <c r="G1123" s="112" t="s">
        <v>643</v>
      </c>
      <c r="H1123" s="112">
        <v>260</v>
      </c>
      <c r="I1123" s="110">
        <v>1</v>
      </c>
      <c r="J1123" s="110">
        <v>1</v>
      </c>
      <c r="K1123" s="112">
        <v>1</v>
      </c>
      <c r="L1123" s="104">
        <f t="shared" si="69"/>
        <v>260</v>
      </c>
      <c r="M1123" s="111"/>
      <c r="N1123" s="111"/>
    </row>
    <row r="1124" spans="2:14" ht="15.75">
      <c r="B1124" s="106">
        <v>1064</v>
      </c>
      <c r="C1124" s="107">
        <v>111</v>
      </c>
      <c r="D1124" s="108"/>
      <c r="E1124" s="25"/>
      <c r="F1124" s="25"/>
      <c r="G1124" s="112" t="s">
        <v>427</v>
      </c>
      <c r="H1124" s="112">
        <v>135</v>
      </c>
      <c r="I1124" s="110">
        <v>1</v>
      </c>
      <c r="J1124" s="110">
        <v>1</v>
      </c>
      <c r="K1124" s="112">
        <v>15</v>
      </c>
      <c r="L1124" s="104">
        <f t="shared" si="69"/>
        <v>2025</v>
      </c>
      <c r="M1124" s="111"/>
      <c r="N1124" s="111"/>
    </row>
    <row r="1125" spans="2:14" ht="15.75">
      <c r="B1125" s="106">
        <v>1065</v>
      </c>
      <c r="C1125" s="107">
        <v>111</v>
      </c>
      <c r="D1125" s="108"/>
      <c r="E1125" s="25"/>
      <c r="F1125" s="25"/>
      <c r="G1125" s="112" t="s">
        <v>447</v>
      </c>
      <c r="H1125" s="112">
        <v>1.19</v>
      </c>
      <c r="I1125" s="110">
        <v>10</v>
      </c>
      <c r="J1125" s="110">
        <v>1</v>
      </c>
      <c r="K1125" s="112">
        <v>15</v>
      </c>
      <c r="L1125" s="104">
        <f t="shared" si="69"/>
        <v>178.49999999999997</v>
      </c>
      <c r="M1125" s="111"/>
      <c r="N1125" s="111"/>
    </row>
    <row r="1126" spans="2:14" ht="15.75">
      <c r="B1126" s="106">
        <v>1066</v>
      </c>
      <c r="C1126" s="107">
        <v>111</v>
      </c>
      <c r="D1126" s="108"/>
      <c r="E1126" s="25"/>
      <c r="F1126" s="25"/>
      <c r="G1126" s="112" t="s">
        <v>459</v>
      </c>
      <c r="H1126" s="112">
        <v>16.670000000000002</v>
      </c>
      <c r="I1126" s="112">
        <v>1</v>
      </c>
      <c r="J1126" s="112">
        <v>3</v>
      </c>
      <c r="K1126" s="112">
        <v>1</v>
      </c>
      <c r="L1126" s="104">
        <f t="shared" si="69"/>
        <v>50.010000000000005</v>
      </c>
      <c r="M1126" s="111"/>
      <c r="N1126" s="111"/>
    </row>
    <row r="1127" spans="2:14" ht="15.75">
      <c r="B1127" s="106">
        <v>1067</v>
      </c>
      <c r="C1127" s="107">
        <v>111</v>
      </c>
      <c r="D1127" s="108"/>
      <c r="E1127" s="25"/>
      <c r="F1127" s="25"/>
      <c r="G1127" s="110" t="s">
        <v>441</v>
      </c>
      <c r="H1127" s="112" t="s">
        <v>671</v>
      </c>
      <c r="I1127" s="110"/>
      <c r="J1127" s="110"/>
      <c r="K1127" s="110"/>
      <c r="L1127" s="104"/>
      <c r="M1127" s="111"/>
      <c r="N1127" s="111"/>
    </row>
    <row r="1128" spans="2:14" ht="15.75">
      <c r="B1128" s="106">
        <v>1068</v>
      </c>
      <c r="C1128" s="107">
        <v>111</v>
      </c>
      <c r="D1128" s="108"/>
      <c r="E1128" s="25"/>
      <c r="F1128" s="25"/>
      <c r="G1128" s="112" t="s">
        <v>443</v>
      </c>
      <c r="H1128" s="112">
        <v>8.33</v>
      </c>
      <c r="I1128" s="112">
        <v>3</v>
      </c>
      <c r="J1128" s="110">
        <v>1</v>
      </c>
      <c r="K1128" s="110">
        <v>1</v>
      </c>
      <c r="L1128" s="104">
        <f t="shared" ref="L1128:L1133" si="70">H1128*I1128*J1128*K1128</f>
        <v>24.990000000000002</v>
      </c>
      <c r="M1128" s="111"/>
      <c r="N1128" s="111"/>
    </row>
    <row r="1129" spans="2:14" ht="15.75">
      <c r="B1129" s="106">
        <v>1069</v>
      </c>
      <c r="C1129" s="107">
        <v>111</v>
      </c>
      <c r="D1129" s="108"/>
      <c r="E1129" s="25"/>
      <c r="F1129" s="25"/>
      <c r="G1129" s="112" t="s">
        <v>444</v>
      </c>
      <c r="H1129" s="112">
        <v>1.1100000000000001</v>
      </c>
      <c r="I1129" s="110">
        <v>70</v>
      </c>
      <c r="J1129" s="110">
        <v>1</v>
      </c>
      <c r="K1129" s="110">
        <v>1</v>
      </c>
      <c r="L1129" s="104">
        <f t="shared" si="70"/>
        <v>77.7</v>
      </c>
      <c r="M1129" s="111"/>
      <c r="N1129" s="111"/>
    </row>
    <row r="1130" spans="2:14" ht="15.75">
      <c r="B1130" s="106">
        <v>1070</v>
      </c>
      <c r="C1130" s="107">
        <v>111</v>
      </c>
      <c r="D1130" s="108"/>
      <c r="E1130" s="25"/>
      <c r="F1130" s="25"/>
      <c r="G1130" s="112" t="s">
        <v>456</v>
      </c>
      <c r="H1130" s="112">
        <v>0.56000000000000005</v>
      </c>
      <c r="I1130" s="110">
        <v>110</v>
      </c>
      <c r="J1130" s="110">
        <v>1</v>
      </c>
      <c r="K1130" s="110">
        <v>1</v>
      </c>
      <c r="L1130" s="104">
        <f t="shared" si="70"/>
        <v>61.600000000000009</v>
      </c>
      <c r="M1130" s="111"/>
      <c r="N1130" s="111"/>
    </row>
    <row r="1131" spans="2:14" ht="15.75">
      <c r="B1131" s="106">
        <v>1071</v>
      </c>
      <c r="C1131" s="107">
        <v>111</v>
      </c>
      <c r="D1131" s="108"/>
      <c r="E1131" s="25"/>
      <c r="F1131" s="25"/>
      <c r="G1131" s="112" t="s">
        <v>458</v>
      </c>
      <c r="H1131" s="112">
        <v>305.56</v>
      </c>
      <c r="I1131" s="110">
        <v>1</v>
      </c>
      <c r="J1131" s="110">
        <v>1</v>
      </c>
      <c r="K1131" s="110">
        <v>1</v>
      </c>
      <c r="L1131" s="104">
        <f t="shared" si="70"/>
        <v>305.56</v>
      </c>
      <c r="M1131" s="111"/>
      <c r="N1131" s="111"/>
    </row>
    <row r="1132" spans="2:14" ht="15.75">
      <c r="B1132" s="106"/>
      <c r="C1132" s="107"/>
      <c r="D1132" s="108"/>
      <c r="E1132" s="25"/>
      <c r="F1132" s="25"/>
      <c r="G1132" s="112" t="s">
        <v>429</v>
      </c>
      <c r="H1132" s="112">
        <v>4</v>
      </c>
      <c r="I1132" s="110">
        <v>35</v>
      </c>
      <c r="J1132" s="110">
        <v>1</v>
      </c>
      <c r="K1132" s="110">
        <v>1</v>
      </c>
      <c r="L1132" s="104">
        <f t="shared" si="70"/>
        <v>140</v>
      </c>
      <c r="M1132" s="111"/>
      <c r="N1132" s="111"/>
    </row>
    <row r="1133" spans="2:14" ht="15.75">
      <c r="B1133" s="106"/>
      <c r="C1133" s="107"/>
      <c r="D1133" s="108"/>
      <c r="E1133" s="25"/>
      <c r="F1133" s="25"/>
      <c r="G1133" s="112" t="s">
        <v>435</v>
      </c>
      <c r="H1133" s="112">
        <v>70</v>
      </c>
      <c r="I1133" s="110">
        <v>1</v>
      </c>
      <c r="J1133" s="110">
        <v>1</v>
      </c>
      <c r="K1133" s="110">
        <v>1</v>
      </c>
      <c r="L1133" s="104">
        <f t="shared" si="70"/>
        <v>70</v>
      </c>
      <c r="M1133" s="111"/>
      <c r="N1133" s="111"/>
    </row>
    <row r="1134" spans="2:14" ht="15.75">
      <c r="B1134" s="106"/>
      <c r="C1134" s="107"/>
      <c r="D1134" s="108"/>
      <c r="E1134" s="25"/>
      <c r="F1134" s="25"/>
      <c r="G1134" s="112"/>
      <c r="H1134" s="112"/>
      <c r="I1134" s="110"/>
      <c r="J1134" s="110"/>
      <c r="K1134" s="110"/>
      <c r="L1134" s="104"/>
      <c r="M1134" s="111"/>
      <c r="N1134" s="111"/>
    </row>
    <row r="1135" spans="2:14" ht="24">
      <c r="B1135" s="106">
        <v>1067</v>
      </c>
      <c r="C1135" s="107">
        <v>111</v>
      </c>
      <c r="D1135" s="108"/>
      <c r="E1135" s="25"/>
      <c r="F1135" s="25"/>
      <c r="G1135" s="110" t="s">
        <v>562</v>
      </c>
      <c r="H1135" s="112" t="s">
        <v>671</v>
      </c>
      <c r="I1135" s="110"/>
      <c r="J1135" s="110"/>
      <c r="K1135" s="110"/>
      <c r="L1135" s="104"/>
      <c r="M1135" s="111"/>
      <c r="N1135" s="111"/>
    </row>
    <row r="1136" spans="2:14" ht="15.75">
      <c r="B1136" s="106">
        <v>1068</v>
      </c>
      <c r="C1136" s="107">
        <v>111</v>
      </c>
      <c r="D1136" s="108"/>
      <c r="E1136" s="25"/>
      <c r="F1136" s="25"/>
      <c r="G1136" s="112" t="s">
        <v>479</v>
      </c>
      <c r="H1136" s="112">
        <v>25</v>
      </c>
      <c r="I1136" s="112">
        <v>100</v>
      </c>
      <c r="J1136" s="110">
        <v>1</v>
      </c>
      <c r="K1136" s="110">
        <v>1</v>
      </c>
      <c r="L1136" s="104">
        <f t="shared" si="69"/>
        <v>2500</v>
      </c>
      <c r="M1136" s="111"/>
      <c r="N1136" s="111"/>
    </row>
    <row r="1137" spans="2:14" ht="15.75">
      <c r="B1137" s="106">
        <v>1072</v>
      </c>
      <c r="C1137" s="107">
        <v>111</v>
      </c>
      <c r="D1137" s="108"/>
      <c r="E1137" s="25"/>
      <c r="F1137" s="25"/>
      <c r="G1137" s="110" t="s">
        <v>447</v>
      </c>
      <c r="H1137" s="112">
        <v>1.19</v>
      </c>
      <c r="I1137" s="110">
        <v>220</v>
      </c>
      <c r="J1137" s="110">
        <v>1</v>
      </c>
      <c r="K1137" s="110">
        <v>15</v>
      </c>
      <c r="L1137" s="104">
        <f t="shared" si="69"/>
        <v>3927</v>
      </c>
      <c r="M1137" s="111"/>
      <c r="N1137" s="111"/>
    </row>
    <row r="1138" spans="2:14" s="138" customFormat="1" ht="25.5">
      <c r="B1138" s="126">
        <v>1073</v>
      </c>
      <c r="C1138" s="127">
        <v>112</v>
      </c>
      <c r="D1138" s="135" t="s">
        <v>36</v>
      </c>
      <c r="E1138" s="129" t="s">
        <v>827</v>
      </c>
      <c r="F1138" s="136" t="s">
        <v>828</v>
      </c>
      <c r="G1138" s="131" t="s">
        <v>633</v>
      </c>
      <c r="H1138" s="168"/>
      <c r="I1138" s="168"/>
      <c r="J1138" s="168"/>
      <c r="K1138" s="168"/>
      <c r="L1138" s="181">
        <f>SUM(L1139:L1153)</f>
        <v>4411.3900000000003</v>
      </c>
      <c r="M1138" s="133">
        <v>8822.7800000000007</v>
      </c>
      <c r="N1138" s="134">
        <v>4411.3900000000003</v>
      </c>
    </row>
    <row r="1139" spans="2:14" ht="15.75">
      <c r="B1139" s="106">
        <v>1074</v>
      </c>
      <c r="C1139" s="107">
        <v>112</v>
      </c>
      <c r="D1139" s="108"/>
      <c r="E1139" s="25"/>
      <c r="F1139" s="25"/>
      <c r="G1139" s="112" t="s">
        <v>453</v>
      </c>
      <c r="H1139" s="112">
        <v>25</v>
      </c>
      <c r="I1139" s="110">
        <v>2</v>
      </c>
      <c r="J1139" s="110">
        <v>1</v>
      </c>
      <c r="K1139" s="112">
        <v>5</v>
      </c>
      <c r="L1139" s="104">
        <f t="shared" si="69"/>
        <v>250</v>
      </c>
      <c r="M1139" s="111"/>
      <c r="N1139" s="111"/>
    </row>
    <row r="1140" spans="2:14" ht="15.75">
      <c r="B1140" s="106">
        <v>1075</v>
      </c>
      <c r="C1140" s="107">
        <v>112</v>
      </c>
      <c r="D1140" s="108"/>
      <c r="E1140" s="25"/>
      <c r="F1140" s="25"/>
      <c r="G1140" s="112" t="s">
        <v>462</v>
      </c>
      <c r="H1140" s="112">
        <v>25</v>
      </c>
      <c r="I1140" s="110">
        <v>1</v>
      </c>
      <c r="J1140" s="110">
        <v>1</v>
      </c>
      <c r="K1140" s="112">
        <v>5</v>
      </c>
      <c r="L1140" s="104">
        <f t="shared" si="69"/>
        <v>125</v>
      </c>
      <c r="M1140" s="111"/>
      <c r="N1140" s="111"/>
    </row>
    <row r="1141" spans="2:14" ht="15.75">
      <c r="B1141" s="106">
        <v>1076</v>
      </c>
      <c r="C1141" s="107">
        <v>112</v>
      </c>
      <c r="D1141" s="108"/>
      <c r="E1141" s="25"/>
      <c r="F1141" s="25"/>
      <c r="G1141" s="112" t="s">
        <v>568</v>
      </c>
      <c r="H1141" s="112">
        <v>4</v>
      </c>
      <c r="I1141" s="110">
        <v>18</v>
      </c>
      <c r="J1141" s="110">
        <v>1</v>
      </c>
      <c r="K1141" s="112">
        <v>5</v>
      </c>
      <c r="L1141" s="104">
        <f t="shared" si="69"/>
        <v>360</v>
      </c>
      <c r="M1141" s="111"/>
      <c r="N1141" s="111"/>
    </row>
    <row r="1142" spans="2:14" ht="15.75">
      <c r="B1142" s="106">
        <v>1077</v>
      </c>
      <c r="C1142" s="107">
        <v>112</v>
      </c>
      <c r="D1142" s="108"/>
      <c r="E1142" s="25"/>
      <c r="F1142" s="25"/>
      <c r="G1142" s="112" t="s">
        <v>569</v>
      </c>
      <c r="H1142" s="112">
        <v>8</v>
      </c>
      <c r="I1142" s="110">
        <v>18</v>
      </c>
      <c r="J1142" s="110">
        <v>1</v>
      </c>
      <c r="K1142" s="112">
        <v>5</v>
      </c>
      <c r="L1142" s="104">
        <f t="shared" si="69"/>
        <v>720</v>
      </c>
      <c r="M1142" s="111"/>
      <c r="N1142" s="111"/>
    </row>
    <row r="1143" spans="2:14" ht="24">
      <c r="B1143" s="106">
        <v>1078</v>
      </c>
      <c r="C1143" s="107">
        <v>112</v>
      </c>
      <c r="D1143" s="108"/>
      <c r="E1143" s="25"/>
      <c r="F1143" s="25"/>
      <c r="G1143" s="112" t="s">
        <v>570</v>
      </c>
      <c r="H1143" s="112">
        <v>10</v>
      </c>
      <c r="I1143" s="110">
        <v>15</v>
      </c>
      <c r="J1143" s="110">
        <v>1</v>
      </c>
      <c r="K1143" s="112">
        <v>5</v>
      </c>
      <c r="L1143" s="104">
        <f t="shared" si="69"/>
        <v>750</v>
      </c>
      <c r="M1143" s="111"/>
      <c r="N1143" s="111"/>
    </row>
    <row r="1144" spans="2:14" ht="15.75">
      <c r="B1144" s="106">
        <v>1079</v>
      </c>
      <c r="C1144" s="107">
        <v>112</v>
      </c>
      <c r="D1144" s="108"/>
      <c r="E1144" s="25"/>
      <c r="F1144" s="25"/>
      <c r="G1144" s="112" t="s">
        <v>432</v>
      </c>
      <c r="H1144" s="112">
        <v>8</v>
      </c>
      <c r="I1144" s="110">
        <v>1</v>
      </c>
      <c r="J1144" s="110">
        <v>1</v>
      </c>
      <c r="K1144" s="112">
        <v>5</v>
      </c>
      <c r="L1144" s="104">
        <f t="shared" si="69"/>
        <v>40</v>
      </c>
      <c r="M1144" s="111"/>
      <c r="N1144" s="111"/>
    </row>
    <row r="1145" spans="2:14" ht="15.75">
      <c r="B1145" s="106">
        <v>1080</v>
      </c>
      <c r="C1145" s="107">
        <v>112</v>
      </c>
      <c r="D1145" s="108"/>
      <c r="E1145" s="25"/>
      <c r="F1145" s="25"/>
      <c r="G1145" s="112" t="s">
        <v>463</v>
      </c>
      <c r="H1145" s="112">
        <v>119</v>
      </c>
      <c r="I1145" s="110">
        <v>1</v>
      </c>
      <c r="J1145" s="110">
        <v>1</v>
      </c>
      <c r="K1145" s="112">
        <v>7</v>
      </c>
      <c r="L1145" s="104">
        <f t="shared" si="69"/>
        <v>833</v>
      </c>
      <c r="M1145" s="111"/>
      <c r="N1145" s="111"/>
    </row>
    <row r="1146" spans="2:14" ht="15.75">
      <c r="B1146" s="106">
        <v>1081</v>
      </c>
      <c r="C1146" s="107">
        <v>112</v>
      </c>
      <c r="D1146" s="108"/>
      <c r="E1146" s="25"/>
      <c r="F1146" s="25"/>
      <c r="G1146" s="112" t="s">
        <v>434</v>
      </c>
      <c r="H1146" s="112">
        <v>10</v>
      </c>
      <c r="I1146" s="110">
        <v>15</v>
      </c>
      <c r="J1146" s="110">
        <v>1</v>
      </c>
      <c r="K1146" s="112">
        <v>1</v>
      </c>
      <c r="L1146" s="104">
        <f t="shared" si="69"/>
        <v>150</v>
      </c>
      <c r="M1146" s="111"/>
      <c r="N1146" s="111"/>
    </row>
    <row r="1147" spans="2:14" ht="15.75">
      <c r="B1147" s="106">
        <v>1082</v>
      </c>
      <c r="C1147" s="107">
        <v>112</v>
      </c>
      <c r="D1147" s="108"/>
      <c r="E1147" s="25"/>
      <c r="F1147" s="25"/>
      <c r="G1147" s="112" t="s">
        <v>455</v>
      </c>
      <c r="H1147" s="112">
        <v>260</v>
      </c>
      <c r="I1147" s="110">
        <v>1</v>
      </c>
      <c r="J1147" s="110">
        <v>1</v>
      </c>
      <c r="K1147" s="112">
        <v>1</v>
      </c>
      <c r="L1147" s="104">
        <f t="shared" si="69"/>
        <v>260</v>
      </c>
      <c r="M1147" s="111"/>
      <c r="N1147" s="111"/>
    </row>
    <row r="1148" spans="2:14" ht="15.75">
      <c r="B1148" s="106">
        <v>1083</v>
      </c>
      <c r="C1148" s="107">
        <v>112</v>
      </c>
      <c r="D1148" s="108"/>
      <c r="E1148" s="25"/>
      <c r="F1148" s="25"/>
      <c r="G1148" s="112" t="s">
        <v>435</v>
      </c>
      <c r="H1148" s="112">
        <v>70</v>
      </c>
      <c r="I1148" s="110">
        <v>1</v>
      </c>
      <c r="J1148" s="110">
        <v>1</v>
      </c>
      <c r="K1148" s="112">
        <v>5</v>
      </c>
      <c r="L1148" s="104">
        <f t="shared" si="69"/>
        <v>350</v>
      </c>
      <c r="M1148" s="111"/>
      <c r="N1148" s="111"/>
    </row>
    <row r="1149" spans="2:14" ht="15.75">
      <c r="B1149" s="106">
        <v>1084</v>
      </c>
      <c r="C1149" s="107">
        <v>112</v>
      </c>
      <c r="D1149" s="108"/>
      <c r="E1149" s="25"/>
      <c r="F1149" s="25"/>
      <c r="G1149" s="112" t="s">
        <v>443</v>
      </c>
      <c r="H1149" s="112">
        <v>8.33</v>
      </c>
      <c r="I1149" s="110">
        <v>3</v>
      </c>
      <c r="J1149" s="110">
        <v>1</v>
      </c>
      <c r="K1149" s="112">
        <v>1</v>
      </c>
      <c r="L1149" s="104">
        <f t="shared" si="69"/>
        <v>24.990000000000002</v>
      </c>
      <c r="M1149" s="111"/>
      <c r="N1149" s="111"/>
    </row>
    <row r="1150" spans="2:14" ht="15.75">
      <c r="B1150" s="106">
        <v>1085</v>
      </c>
      <c r="C1150" s="107">
        <v>112</v>
      </c>
      <c r="D1150" s="108"/>
      <c r="E1150" s="25"/>
      <c r="F1150" s="25"/>
      <c r="G1150" s="112" t="s">
        <v>464</v>
      </c>
      <c r="H1150" s="112">
        <v>305.56</v>
      </c>
      <c r="I1150" s="112">
        <v>1</v>
      </c>
      <c r="J1150" s="110">
        <v>1</v>
      </c>
      <c r="K1150" s="112">
        <v>1</v>
      </c>
      <c r="L1150" s="104">
        <f t="shared" si="69"/>
        <v>305.56</v>
      </c>
      <c r="M1150" s="111"/>
      <c r="N1150" s="111"/>
    </row>
    <row r="1151" spans="2:14" ht="15.75">
      <c r="B1151" s="106">
        <v>1086</v>
      </c>
      <c r="C1151" s="107">
        <v>112</v>
      </c>
      <c r="D1151" s="108"/>
      <c r="E1151" s="25"/>
      <c r="F1151" s="25"/>
      <c r="G1151" s="112" t="s">
        <v>465</v>
      </c>
      <c r="H1151" s="112">
        <v>166.67</v>
      </c>
      <c r="I1151" s="112">
        <v>1</v>
      </c>
      <c r="J1151" s="110">
        <v>1</v>
      </c>
      <c r="K1151" s="112">
        <v>1</v>
      </c>
      <c r="L1151" s="104">
        <f t="shared" si="69"/>
        <v>166.67</v>
      </c>
      <c r="M1151" s="111"/>
      <c r="N1151" s="111"/>
    </row>
    <row r="1152" spans="2:14" ht="15.75">
      <c r="B1152" s="106">
        <v>1087</v>
      </c>
      <c r="C1152" s="107">
        <v>112</v>
      </c>
      <c r="D1152" s="108"/>
      <c r="E1152" s="25"/>
      <c r="F1152" s="25"/>
      <c r="G1152" s="112" t="s">
        <v>447</v>
      </c>
      <c r="H1152" s="112">
        <v>1.19</v>
      </c>
      <c r="I1152" s="112">
        <v>10</v>
      </c>
      <c r="J1152" s="110">
        <v>1</v>
      </c>
      <c r="K1152" s="112">
        <v>5</v>
      </c>
      <c r="L1152" s="104">
        <f t="shared" si="69"/>
        <v>59.499999999999993</v>
      </c>
      <c r="M1152" s="111"/>
      <c r="N1152" s="111"/>
    </row>
    <row r="1153" spans="2:14" ht="15.75">
      <c r="B1153" s="106">
        <v>1088</v>
      </c>
      <c r="C1153" s="107">
        <v>112</v>
      </c>
      <c r="D1153" s="108"/>
      <c r="E1153" s="25"/>
      <c r="F1153" s="25"/>
      <c r="G1153" s="112" t="s">
        <v>459</v>
      </c>
      <c r="H1153" s="112">
        <v>16.670000000000002</v>
      </c>
      <c r="I1153" s="112">
        <v>1</v>
      </c>
      <c r="J1153" s="110">
        <v>1</v>
      </c>
      <c r="K1153" s="112">
        <v>1</v>
      </c>
      <c r="L1153" s="104">
        <f t="shared" si="69"/>
        <v>16.670000000000002</v>
      </c>
      <c r="M1153" s="111"/>
      <c r="N1153" s="111"/>
    </row>
    <row r="1154" spans="2:14" s="138" customFormat="1" ht="38.25">
      <c r="B1154" s="126">
        <v>1089</v>
      </c>
      <c r="C1154" s="127">
        <v>113</v>
      </c>
      <c r="D1154" s="135" t="s">
        <v>33</v>
      </c>
      <c r="E1154" s="129" t="s">
        <v>829</v>
      </c>
      <c r="F1154" s="136" t="s">
        <v>830</v>
      </c>
      <c r="G1154" s="131" t="s">
        <v>32</v>
      </c>
      <c r="H1154" s="168"/>
      <c r="I1154" s="168"/>
      <c r="J1154" s="168"/>
      <c r="K1154" s="168"/>
      <c r="L1154" s="185">
        <f>SUM(L1155:L1158)</f>
        <v>38152</v>
      </c>
      <c r="M1154" s="133">
        <v>38152</v>
      </c>
      <c r="N1154" s="134">
        <v>38152</v>
      </c>
    </row>
    <row r="1155" spans="2:14" ht="15.75">
      <c r="B1155" s="106">
        <v>1090</v>
      </c>
      <c r="C1155" s="107">
        <v>113</v>
      </c>
      <c r="D1155" s="108"/>
      <c r="E1155" s="25"/>
      <c r="F1155" s="25"/>
      <c r="G1155" s="112" t="s">
        <v>448</v>
      </c>
      <c r="H1155" s="112">
        <v>500</v>
      </c>
      <c r="I1155" s="112">
        <v>2</v>
      </c>
      <c r="J1155" s="112">
        <v>1</v>
      </c>
      <c r="K1155" s="112">
        <v>6</v>
      </c>
      <c r="L1155" s="104">
        <f t="shared" si="69"/>
        <v>6000</v>
      </c>
      <c r="M1155" s="111"/>
      <c r="N1155" s="111"/>
    </row>
    <row r="1156" spans="2:14" ht="15.75">
      <c r="B1156" s="106">
        <v>1091</v>
      </c>
      <c r="C1156" s="107">
        <v>113</v>
      </c>
      <c r="D1156" s="108"/>
      <c r="E1156" s="25"/>
      <c r="F1156" s="25"/>
      <c r="G1156" s="112" t="s">
        <v>449</v>
      </c>
      <c r="H1156" s="112">
        <v>300</v>
      </c>
      <c r="I1156" s="112">
        <v>2</v>
      </c>
      <c r="J1156" s="112">
        <v>1</v>
      </c>
      <c r="K1156" s="112">
        <v>45</v>
      </c>
      <c r="L1156" s="104">
        <f t="shared" si="69"/>
        <v>27000</v>
      </c>
      <c r="M1156" s="111"/>
      <c r="N1156" s="111"/>
    </row>
    <row r="1157" spans="2:14" ht="15.75">
      <c r="B1157" s="106">
        <v>1092</v>
      </c>
      <c r="C1157" s="107">
        <v>113</v>
      </c>
      <c r="D1157" s="108"/>
      <c r="E1157" s="25"/>
      <c r="F1157" s="25"/>
      <c r="G1157" s="112" t="s">
        <v>450</v>
      </c>
      <c r="H1157" s="112">
        <v>38</v>
      </c>
      <c r="I1157" s="112">
        <v>2</v>
      </c>
      <c r="J1157" s="112">
        <v>1</v>
      </c>
      <c r="K1157" s="112">
        <v>2</v>
      </c>
      <c r="L1157" s="104">
        <f t="shared" si="69"/>
        <v>152</v>
      </c>
      <c r="M1157" s="111"/>
      <c r="N1157" s="111"/>
    </row>
    <row r="1158" spans="2:14" ht="15.75">
      <c r="B1158" s="106">
        <v>1093</v>
      </c>
      <c r="C1158" s="107">
        <v>113</v>
      </c>
      <c r="D1158" s="108"/>
      <c r="E1158" s="25"/>
      <c r="F1158" s="25"/>
      <c r="G1158" s="112" t="s">
        <v>451</v>
      </c>
      <c r="H1158" s="112">
        <v>2500</v>
      </c>
      <c r="I1158" s="112">
        <v>2</v>
      </c>
      <c r="J1158" s="112">
        <v>1</v>
      </c>
      <c r="K1158" s="112">
        <v>1</v>
      </c>
      <c r="L1158" s="104">
        <f t="shared" si="69"/>
        <v>5000</v>
      </c>
      <c r="M1158" s="111"/>
      <c r="N1158" s="111"/>
    </row>
    <row r="1159" spans="2:14" s="138" customFormat="1" ht="38.25">
      <c r="B1159" s="126">
        <v>1094</v>
      </c>
      <c r="C1159" s="127">
        <v>114</v>
      </c>
      <c r="D1159" s="146" t="s">
        <v>31</v>
      </c>
      <c r="E1159" s="186" t="s">
        <v>831</v>
      </c>
      <c r="F1159" s="136" t="s">
        <v>832</v>
      </c>
      <c r="G1159" s="131" t="s">
        <v>641</v>
      </c>
      <c r="H1159" s="168"/>
      <c r="I1159" s="168"/>
      <c r="J1159" s="168"/>
      <c r="K1159" s="168"/>
      <c r="L1159" s="185">
        <f>SUM(L1160:L1164)</f>
        <v>1127109.3999999999</v>
      </c>
      <c r="M1159" s="133">
        <v>1037840</v>
      </c>
      <c r="N1159" s="134">
        <v>1037840</v>
      </c>
    </row>
    <row r="1160" spans="2:14" s="156" customFormat="1" ht="15.75">
      <c r="B1160" s="182"/>
      <c r="C1160" s="100"/>
      <c r="D1160" s="115"/>
      <c r="E1160" s="122"/>
      <c r="F1160" s="1"/>
      <c r="G1160" s="103" t="s">
        <v>466</v>
      </c>
      <c r="H1160" s="25">
        <v>0</v>
      </c>
      <c r="I1160" s="112">
        <v>1</v>
      </c>
      <c r="J1160" s="112">
        <v>1</v>
      </c>
      <c r="K1160" s="112">
        <v>1</v>
      </c>
      <c r="L1160" s="133">
        <f t="shared" ref="L1160:L1164" si="71">H1160*I1160*J1160*K1160</f>
        <v>0</v>
      </c>
      <c r="M1160" s="104"/>
      <c r="N1160" s="105"/>
    </row>
    <row r="1161" spans="2:14" s="156" customFormat="1" ht="15.75">
      <c r="B1161" s="182"/>
      <c r="C1161" s="100"/>
      <c r="D1161" s="115"/>
      <c r="E1161" s="122"/>
      <c r="F1161" s="1"/>
      <c r="G1161" s="103" t="s">
        <v>467</v>
      </c>
      <c r="H1161" s="25">
        <v>563554.69999999995</v>
      </c>
      <c r="I1161" s="112">
        <v>1</v>
      </c>
      <c r="J1161" s="112">
        <v>1</v>
      </c>
      <c r="K1161" s="112">
        <v>1</v>
      </c>
      <c r="L1161" s="133">
        <f t="shared" si="71"/>
        <v>563554.69999999995</v>
      </c>
      <c r="M1161" s="104"/>
      <c r="N1161" s="105"/>
    </row>
    <row r="1162" spans="2:14" s="156" customFormat="1" ht="15.75">
      <c r="B1162" s="182"/>
      <c r="C1162" s="100"/>
      <c r="D1162" s="115"/>
      <c r="E1162" s="122"/>
      <c r="F1162" s="1"/>
      <c r="G1162" s="103" t="s">
        <v>468</v>
      </c>
      <c r="H1162" s="25">
        <v>563554.69999999995</v>
      </c>
      <c r="I1162" s="112">
        <v>1</v>
      </c>
      <c r="J1162" s="112">
        <v>1</v>
      </c>
      <c r="K1162" s="112">
        <v>1</v>
      </c>
      <c r="L1162" s="133">
        <f t="shared" si="71"/>
        <v>563554.69999999995</v>
      </c>
      <c r="M1162" s="104"/>
      <c r="N1162" s="105"/>
    </row>
    <row r="1163" spans="2:14" s="156" customFormat="1" ht="15.75">
      <c r="B1163" s="182"/>
      <c r="C1163" s="100"/>
      <c r="D1163" s="115"/>
      <c r="E1163" s="122"/>
      <c r="F1163" s="1"/>
      <c r="G1163" s="103" t="s">
        <v>469</v>
      </c>
      <c r="H1163" s="25"/>
      <c r="I1163" s="112">
        <v>1</v>
      </c>
      <c r="J1163" s="112">
        <v>1</v>
      </c>
      <c r="K1163" s="112">
        <v>1</v>
      </c>
      <c r="L1163" s="133">
        <f t="shared" si="71"/>
        <v>0</v>
      </c>
      <c r="M1163" s="104"/>
      <c r="N1163" s="105"/>
    </row>
    <row r="1164" spans="2:14" s="156" customFormat="1" ht="15.75">
      <c r="B1164" s="182"/>
      <c r="C1164" s="100"/>
      <c r="D1164" s="115"/>
      <c r="E1164" s="122"/>
      <c r="F1164" s="1"/>
      <c r="G1164" s="103" t="s">
        <v>470</v>
      </c>
      <c r="H1164" s="25"/>
      <c r="I1164" s="112">
        <v>1</v>
      </c>
      <c r="J1164" s="112">
        <v>1</v>
      </c>
      <c r="K1164" s="112">
        <v>1</v>
      </c>
      <c r="L1164" s="133">
        <f t="shared" si="71"/>
        <v>0</v>
      </c>
      <c r="M1164" s="104"/>
      <c r="N1164" s="105"/>
    </row>
    <row r="1165" spans="2:14" s="138" customFormat="1" ht="38.25">
      <c r="B1165" s="126">
        <v>1096</v>
      </c>
      <c r="C1165" s="127">
        <v>115</v>
      </c>
      <c r="D1165" s="135" t="s">
        <v>29</v>
      </c>
      <c r="E1165" s="129" t="s">
        <v>28</v>
      </c>
      <c r="F1165" s="136" t="s">
        <v>833</v>
      </c>
      <c r="G1165" s="131" t="s">
        <v>640</v>
      </c>
      <c r="H1165" s="137" t="s">
        <v>671</v>
      </c>
      <c r="I1165" s="131"/>
      <c r="J1165" s="131"/>
      <c r="K1165" s="131"/>
      <c r="L1165" s="185">
        <f>SUM(L1166:L1170)</f>
        <v>80338.600000000006</v>
      </c>
      <c r="M1165" s="133">
        <v>70010</v>
      </c>
      <c r="N1165" s="134">
        <v>50010</v>
      </c>
    </row>
    <row r="1166" spans="2:14" ht="15.75">
      <c r="B1166" s="106">
        <v>1097</v>
      </c>
      <c r="C1166" s="107">
        <v>115</v>
      </c>
      <c r="D1166" s="108"/>
      <c r="E1166" s="25"/>
      <c r="F1166" s="25"/>
      <c r="G1166" s="112" t="s">
        <v>466</v>
      </c>
      <c r="H1166" s="112">
        <v>0</v>
      </c>
      <c r="I1166" s="112">
        <v>1</v>
      </c>
      <c r="J1166" s="112">
        <v>1</v>
      </c>
      <c r="K1166" s="112">
        <v>1</v>
      </c>
      <c r="L1166" s="133">
        <f t="shared" ref="L1166:L1170" si="72">H1166*I1166*J1166*K1166</f>
        <v>0</v>
      </c>
      <c r="M1166" s="111"/>
      <c r="N1166" s="111"/>
    </row>
    <row r="1167" spans="2:14" ht="15.75">
      <c r="B1167" s="106"/>
      <c r="C1167" s="107"/>
      <c r="D1167" s="108"/>
      <c r="E1167" s="25"/>
      <c r="F1167" s="25"/>
      <c r="G1167" s="112" t="s">
        <v>467</v>
      </c>
      <c r="H1167" s="112">
        <v>0</v>
      </c>
      <c r="I1167" s="112">
        <v>1</v>
      </c>
      <c r="J1167" s="112">
        <v>1</v>
      </c>
      <c r="K1167" s="112">
        <v>1</v>
      </c>
      <c r="L1167" s="133">
        <f t="shared" si="72"/>
        <v>0</v>
      </c>
      <c r="M1167" s="111"/>
      <c r="N1167" s="111"/>
    </row>
    <row r="1168" spans="2:14" ht="15.75">
      <c r="B1168" s="106"/>
      <c r="C1168" s="107"/>
      <c r="D1168" s="108"/>
      <c r="E1168" s="25"/>
      <c r="F1168" s="25"/>
      <c r="G1168" s="112" t="s">
        <v>893</v>
      </c>
      <c r="H1168" s="112">
        <v>35499.599999999999</v>
      </c>
      <c r="I1168" s="112">
        <v>1</v>
      </c>
      <c r="J1168" s="112">
        <v>1</v>
      </c>
      <c r="K1168" s="112">
        <v>1</v>
      </c>
      <c r="L1168" s="133">
        <f t="shared" si="72"/>
        <v>35499.599999999999</v>
      </c>
      <c r="M1168" s="111"/>
      <c r="N1168" s="111"/>
    </row>
    <row r="1169" spans="2:14" ht="15.75">
      <c r="B1169" s="106"/>
      <c r="C1169" s="107"/>
      <c r="D1169" s="108"/>
      <c r="E1169" s="25"/>
      <c r="F1169" s="25"/>
      <c r="G1169" s="112" t="s">
        <v>882</v>
      </c>
      <c r="H1169" s="112">
        <v>21897</v>
      </c>
      <c r="I1169" s="112">
        <v>1</v>
      </c>
      <c r="J1169" s="112">
        <v>1</v>
      </c>
      <c r="K1169" s="112">
        <v>1</v>
      </c>
      <c r="L1169" s="133">
        <f t="shared" si="72"/>
        <v>21897</v>
      </c>
      <c r="M1169" s="111"/>
      <c r="N1169" s="111"/>
    </row>
    <row r="1170" spans="2:14" ht="15.75">
      <c r="B1170" s="106"/>
      <c r="C1170" s="107"/>
      <c r="D1170" s="108"/>
      <c r="E1170" s="25"/>
      <c r="F1170" s="25"/>
      <c r="G1170" s="112" t="s">
        <v>883</v>
      </c>
      <c r="H1170" s="112">
        <v>22942</v>
      </c>
      <c r="I1170" s="112">
        <v>1</v>
      </c>
      <c r="J1170" s="112">
        <v>1</v>
      </c>
      <c r="K1170" s="112">
        <v>1</v>
      </c>
      <c r="L1170" s="133">
        <f t="shared" si="72"/>
        <v>22942</v>
      </c>
      <c r="M1170" s="111"/>
      <c r="N1170" s="111"/>
    </row>
    <row r="1171" spans="2:14" s="138" customFormat="1" ht="51">
      <c r="B1171" s="126">
        <v>1099</v>
      </c>
      <c r="C1171" s="127">
        <v>116</v>
      </c>
      <c r="D1171" s="135" t="s">
        <v>27</v>
      </c>
      <c r="E1171" s="129" t="s">
        <v>26</v>
      </c>
      <c r="F1171" s="136" t="s">
        <v>834</v>
      </c>
      <c r="G1171" s="131" t="s">
        <v>639</v>
      </c>
      <c r="H1171" s="137" t="s">
        <v>671</v>
      </c>
      <c r="I1171" s="131"/>
      <c r="J1171" s="131"/>
      <c r="K1171" s="131"/>
      <c r="L1171" s="185">
        <f>SUM(L1172:L1176)</f>
        <v>46560</v>
      </c>
      <c r="M1171" s="133">
        <v>191565</v>
      </c>
      <c r="N1171" s="134">
        <v>114939</v>
      </c>
    </row>
    <row r="1172" spans="2:14" s="192" customFormat="1" ht="15.75">
      <c r="B1172" s="187"/>
      <c r="C1172" s="188"/>
      <c r="D1172" s="115"/>
      <c r="E1172" s="116"/>
      <c r="F1172" s="116"/>
      <c r="G1172" s="183" t="s">
        <v>466</v>
      </c>
      <c r="H1172" s="189">
        <v>600</v>
      </c>
      <c r="I1172" s="183">
        <v>1</v>
      </c>
      <c r="J1172" s="183">
        <v>1</v>
      </c>
      <c r="K1172" s="183">
        <v>1</v>
      </c>
      <c r="L1172" s="133">
        <v>0</v>
      </c>
      <c r="M1172" s="190"/>
      <c r="N1172" s="191"/>
    </row>
    <row r="1173" spans="2:14" s="192" customFormat="1" ht="15.75">
      <c r="B1173" s="187"/>
      <c r="C1173" s="188"/>
      <c r="D1173" s="115"/>
      <c r="E1173" s="116"/>
      <c r="F1173" s="116"/>
      <c r="G1173" s="183" t="s">
        <v>467</v>
      </c>
      <c r="H1173" s="189">
        <v>600</v>
      </c>
      <c r="I1173" s="183">
        <v>1</v>
      </c>
      <c r="J1173" s="183">
        <v>1</v>
      </c>
      <c r="K1173" s="183">
        <v>1</v>
      </c>
      <c r="L1173" s="133">
        <v>0</v>
      </c>
      <c r="M1173" s="190"/>
      <c r="N1173" s="191"/>
    </row>
    <row r="1174" spans="2:14" s="192" customFormat="1" ht="15.75">
      <c r="B1174" s="187"/>
      <c r="C1174" s="188"/>
      <c r="D1174" s="115"/>
      <c r="E1174" s="116"/>
      <c r="F1174" s="116"/>
      <c r="G1174" s="183" t="s">
        <v>468</v>
      </c>
      <c r="H1174" s="189">
        <v>12480</v>
      </c>
      <c r="I1174" s="183">
        <v>1</v>
      </c>
      <c r="J1174" s="183">
        <v>1</v>
      </c>
      <c r="K1174" s="183">
        <v>1</v>
      </c>
      <c r="L1174" s="133">
        <f t="shared" ref="L1174:L1175" si="73">H1174*I1174*J1174*K1174</f>
        <v>12480</v>
      </c>
      <c r="M1174" s="190"/>
      <c r="N1174" s="191"/>
    </row>
    <row r="1175" spans="2:14" s="192" customFormat="1" ht="15.75">
      <c r="B1175" s="187"/>
      <c r="C1175" s="188"/>
      <c r="D1175" s="115"/>
      <c r="E1175" s="116"/>
      <c r="F1175" s="116"/>
      <c r="G1175" s="183" t="s">
        <v>469</v>
      </c>
      <c r="H1175" s="189">
        <v>14400</v>
      </c>
      <c r="I1175" s="183">
        <v>1</v>
      </c>
      <c r="J1175" s="183">
        <v>1</v>
      </c>
      <c r="K1175" s="183">
        <v>1</v>
      </c>
      <c r="L1175" s="133">
        <f t="shared" si="73"/>
        <v>14400</v>
      </c>
      <c r="M1175" s="190"/>
      <c r="N1175" s="191"/>
    </row>
    <row r="1176" spans="2:14" ht="15.75">
      <c r="B1176" s="106">
        <v>1100</v>
      </c>
      <c r="C1176" s="107">
        <v>116</v>
      </c>
      <c r="D1176" s="108"/>
      <c r="E1176" s="25"/>
      <c r="F1176" s="25"/>
      <c r="G1176" s="183" t="s">
        <v>470</v>
      </c>
      <c r="H1176" s="189">
        <v>19680</v>
      </c>
      <c r="I1176" s="183">
        <v>1</v>
      </c>
      <c r="J1176" s="183">
        <v>1</v>
      </c>
      <c r="K1176" s="183">
        <v>1</v>
      </c>
      <c r="L1176" s="133">
        <f>H1176*I1176*J1176*K1176</f>
        <v>19680</v>
      </c>
      <c r="M1176" s="111"/>
      <c r="N1176" s="111"/>
    </row>
    <row r="1177" spans="2:14" s="138" customFormat="1" ht="25.5">
      <c r="B1177" s="126">
        <v>1101</v>
      </c>
      <c r="C1177" s="127">
        <v>117</v>
      </c>
      <c r="D1177" s="135" t="s">
        <v>25</v>
      </c>
      <c r="E1177" s="129" t="s">
        <v>24</v>
      </c>
      <c r="F1177" s="136" t="s">
        <v>835</v>
      </c>
      <c r="G1177" s="131" t="s">
        <v>24</v>
      </c>
      <c r="H1177" s="137" t="s">
        <v>671</v>
      </c>
      <c r="I1177" s="131"/>
      <c r="J1177" s="131"/>
      <c r="K1177" s="131"/>
      <c r="L1177" s="193">
        <f>SUM(L1178)</f>
        <v>1003.33</v>
      </c>
      <c r="M1177" s="133">
        <v>1003.33</v>
      </c>
      <c r="N1177" s="134">
        <v>3009.9900000000002</v>
      </c>
    </row>
    <row r="1178" spans="2:14" ht="15.75">
      <c r="B1178" s="106">
        <v>1102</v>
      </c>
      <c r="C1178" s="107">
        <v>117</v>
      </c>
      <c r="D1178" s="108"/>
      <c r="E1178" s="25"/>
      <c r="F1178" s="25"/>
      <c r="G1178" s="112" t="s">
        <v>630</v>
      </c>
      <c r="H1178" s="112">
        <v>1.19</v>
      </c>
      <c r="I1178" s="110">
        <f>210+0.783613445378179</f>
        <v>210.78361344537817</v>
      </c>
      <c r="J1178" s="110">
        <v>1</v>
      </c>
      <c r="K1178" s="110">
        <v>4</v>
      </c>
      <c r="L1178" s="104">
        <f>H1178*I1178*J1178*K1178</f>
        <v>1003.33</v>
      </c>
      <c r="M1178" s="111"/>
      <c r="N1178" s="111"/>
    </row>
    <row r="1179" spans="2:14" s="138" customFormat="1" ht="38.25">
      <c r="B1179" s="157">
        <v>9999</v>
      </c>
      <c r="C1179" s="158">
        <v>118</v>
      </c>
      <c r="D1179" s="128" t="s">
        <v>23</v>
      </c>
      <c r="E1179" s="136" t="s">
        <v>22</v>
      </c>
      <c r="F1179" s="136" t="s">
        <v>853</v>
      </c>
      <c r="G1179" s="132"/>
      <c r="H1179" s="159"/>
      <c r="I1179" s="159"/>
      <c r="J1179" s="159"/>
      <c r="K1179" s="159"/>
      <c r="L1179" s="193">
        <f>SUM(L1180:L1181)</f>
        <v>0</v>
      </c>
      <c r="M1179" s="133">
        <v>0</v>
      </c>
      <c r="N1179" s="134">
        <v>0</v>
      </c>
    </row>
    <row r="1180" spans="2:14" s="156" customFormat="1" ht="15.75">
      <c r="B1180" s="160"/>
      <c r="C1180" s="161"/>
      <c r="D1180" s="101"/>
      <c r="E1180" s="1"/>
      <c r="F1180" s="1"/>
      <c r="G1180" s="162"/>
      <c r="H1180" s="163"/>
      <c r="I1180" s="163"/>
      <c r="J1180" s="163"/>
      <c r="K1180" s="163"/>
      <c r="L1180" s="104">
        <f>H1180*I1180*J1180*K1180</f>
        <v>0</v>
      </c>
      <c r="M1180" s="104"/>
      <c r="N1180" s="105"/>
    </row>
    <row r="1181" spans="2:14" s="156" customFormat="1" ht="15.75">
      <c r="B1181" s="160"/>
      <c r="C1181" s="161"/>
      <c r="D1181" s="101"/>
      <c r="E1181" s="1"/>
      <c r="F1181" s="1"/>
      <c r="G1181" s="162"/>
      <c r="H1181" s="163"/>
      <c r="I1181" s="163"/>
      <c r="J1181" s="163"/>
      <c r="K1181" s="163"/>
      <c r="L1181" s="104">
        <f>H1181*I1181*J1181*K1181</f>
        <v>0</v>
      </c>
      <c r="M1181" s="104"/>
      <c r="N1181" s="105"/>
    </row>
    <row r="1182" spans="2:14" s="138" customFormat="1" ht="51">
      <c r="B1182" s="126">
        <v>1103</v>
      </c>
      <c r="C1182" s="127">
        <v>119</v>
      </c>
      <c r="D1182" s="135" t="s">
        <v>21</v>
      </c>
      <c r="E1182" s="129" t="s">
        <v>20</v>
      </c>
      <c r="F1182" s="136" t="s">
        <v>836</v>
      </c>
      <c r="G1182" s="131" t="s">
        <v>638</v>
      </c>
      <c r="H1182" s="137" t="s">
        <v>671</v>
      </c>
      <c r="I1182" s="131"/>
      <c r="J1182" s="131"/>
      <c r="K1182" s="131"/>
      <c r="L1182" s="193">
        <f>SUM(L1183:L1187)</f>
        <v>98166</v>
      </c>
      <c r="M1182" s="133">
        <v>215000</v>
      </c>
      <c r="N1182" s="134">
        <v>92500</v>
      </c>
    </row>
    <row r="1183" spans="2:14" ht="15.75">
      <c r="B1183" s="106">
        <v>1104</v>
      </c>
      <c r="C1183" s="107">
        <v>119</v>
      </c>
      <c r="D1183" s="108"/>
      <c r="E1183" s="25"/>
      <c r="F1183" s="25"/>
      <c r="G1183" s="112" t="s">
        <v>466</v>
      </c>
      <c r="H1183" s="112">
        <v>7269</v>
      </c>
      <c r="I1183" s="112">
        <v>1</v>
      </c>
      <c r="J1183" s="112">
        <v>1</v>
      </c>
      <c r="K1183" s="112">
        <v>1</v>
      </c>
      <c r="L1183" s="133">
        <f>H1183*I1183*J1183*K1183</f>
        <v>7269</v>
      </c>
      <c r="M1183" s="111"/>
      <c r="N1183" s="111"/>
    </row>
    <row r="1184" spans="2:14" ht="15.75">
      <c r="B1184" s="106">
        <v>1105</v>
      </c>
      <c r="C1184" s="107">
        <v>119</v>
      </c>
      <c r="D1184" s="108"/>
      <c r="E1184" s="25"/>
      <c r="F1184" s="25"/>
      <c r="G1184" s="112" t="s">
        <v>467</v>
      </c>
      <c r="H1184" s="112">
        <v>16515</v>
      </c>
      <c r="I1184" s="112">
        <v>1</v>
      </c>
      <c r="J1184" s="112">
        <v>1</v>
      </c>
      <c r="K1184" s="112">
        <v>1</v>
      </c>
      <c r="L1184" s="133">
        <f t="shared" ref="L1184:L1187" si="74">H1184*I1184*J1184*K1184</f>
        <v>16515</v>
      </c>
      <c r="M1184" s="111"/>
      <c r="N1184" s="111"/>
    </row>
    <row r="1185" spans="2:14" ht="15.75">
      <c r="B1185" s="106">
        <v>1106</v>
      </c>
      <c r="C1185" s="107">
        <v>119</v>
      </c>
      <c r="D1185" s="108"/>
      <c r="E1185" s="25"/>
      <c r="F1185" s="25"/>
      <c r="G1185" s="112" t="s">
        <v>468</v>
      </c>
      <c r="H1185" s="112">
        <v>19345</v>
      </c>
      <c r="I1185" s="112">
        <v>1</v>
      </c>
      <c r="J1185" s="112">
        <v>1</v>
      </c>
      <c r="K1185" s="112">
        <v>1</v>
      </c>
      <c r="L1185" s="133">
        <f t="shared" si="74"/>
        <v>19345</v>
      </c>
      <c r="M1185" s="111"/>
      <c r="N1185" s="111"/>
    </row>
    <row r="1186" spans="2:14" ht="15.75">
      <c r="B1186" s="106">
        <v>1107</v>
      </c>
      <c r="C1186" s="107">
        <v>119</v>
      </c>
      <c r="D1186" s="108"/>
      <c r="E1186" s="25"/>
      <c r="F1186" s="25"/>
      <c r="G1186" s="112" t="s">
        <v>469</v>
      </c>
      <c r="H1186" s="112">
        <v>19674</v>
      </c>
      <c r="I1186" s="112">
        <v>1</v>
      </c>
      <c r="J1186" s="112">
        <v>1</v>
      </c>
      <c r="K1186" s="112">
        <v>1</v>
      </c>
      <c r="L1186" s="133">
        <f t="shared" si="74"/>
        <v>19674</v>
      </c>
      <c r="M1186" s="111"/>
      <c r="N1186" s="111"/>
    </row>
    <row r="1187" spans="2:14" ht="15.75">
      <c r="B1187" s="106">
        <v>1108</v>
      </c>
      <c r="C1187" s="107">
        <v>119</v>
      </c>
      <c r="D1187" s="108"/>
      <c r="E1187" s="25"/>
      <c r="F1187" s="25"/>
      <c r="G1187" s="112" t="s">
        <v>470</v>
      </c>
      <c r="H1187" s="112">
        <v>35363</v>
      </c>
      <c r="I1187" s="112">
        <v>1</v>
      </c>
      <c r="J1187" s="112">
        <v>1</v>
      </c>
      <c r="K1187" s="112">
        <v>1</v>
      </c>
      <c r="L1187" s="133">
        <f t="shared" si="74"/>
        <v>35363</v>
      </c>
      <c r="M1187" s="111"/>
      <c r="N1187" s="111"/>
    </row>
    <row r="1188" spans="2:14" s="138" customFormat="1" ht="25.5">
      <c r="B1188" s="157">
        <v>9999</v>
      </c>
      <c r="C1188" s="158">
        <v>120</v>
      </c>
      <c r="D1188" s="135" t="s">
        <v>854</v>
      </c>
      <c r="E1188" s="129" t="s">
        <v>855</v>
      </c>
      <c r="F1188" s="136" t="s">
        <v>841</v>
      </c>
      <c r="G1188" s="132"/>
      <c r="H1188" s="159"/>
      <c r="I1188" s="159"/>
      <c r="J1188" s="159"/>
      <c r="K1188" s="159"/>
      <c r="L1188" s="193">
        <f>SUM(L1189:L1192)</f>
        <v>238.1</v>
      </c>
      <c r="M1188" s="133">
        <v>12500</v>
      </c>
      <c r="N1188" s="134">
        <v>7500</v>
      </c>
    </row>
    <row r="1189" spans="2:14" s="156" customFormat="1" ht="15.75">
      <c r="B1189" s="160"/>
      <c r="C1189" s="161"/>
      <c r="D1189" s="113"/>
      <c r="E1189" s="11"/>
      <c r="F1189" s="1"/>
      <c r="G1189" s="162"/>
      <c r="H1189" s="163">
        <v>238.1</v>
      </c>
      <c r="I1189" s="163">
        <v>1</v>
      </c>
      <c r="J1189" s="163">
        <v>1</v>
      </c>
      <c r="K1189" s="163">
        <v>1</v>
      </c>
      <c r="L1189" s="104">
        <f>H1189*I1189*J1189*K1189</f>
        <v>238.1</v>
      </c>
      <c r="M1189" s="104"/>
      <c r="N1189" s="105"/>
    </row>
    <row r="1190" spans="2:14" s="156" customFormat="1" ht="15.75">
      <c r="B1190" s="160"/>
      <c r="C1190" s="161"/>
      <c r="D1190" s="113"/>
      <c r="E1190" s="11"/>
      <c r="F1190" s="1"/>
      <c r="G1190" s="162"/>
      <c r="H1190" s="163"/>
      <c r="I1190" s="163"/>
      <c r="J1190" s="163"/>
      <c r="K1190" s="163"/>
      <c r="L1190" s="104">
        <f t="shared" ref="L1190:L1192" si="75">H1190*I1190*J1190*K1190</f>
        <v>0</v>
      </c>
      <c r="M1190" s="104"/>
      <c r="N1190" s="105"/>
    </row>
    <row r="1191" spans="2:14" s="156" customFormat="1" ht="15.75">
      <c r="B1191" s="160"/>
      <c r="C1191" s="161"/>
      <c r="D1191" s="113"/>
      <c r="E1191" s="11"/>
      <c r="F1191" s="1"/>
      <c r="G1191" s="162"/>
      <c r="H1191" s="163"/>
      <c r="I1191" s="163"/>
      <c r="J1191" s="163"/>
      <c r="K1191" s="163"/>
      <c r="L1191" s="104">
        <f t="shared" si="75"/>
        <v>0</v>
      </c>
      <c r="M1191" s="104"/>
      <c r="N1191" s="105"/>
    </row>
    <row r="1192" spans="2:14" s="156" customFormat="1" ht="15.75">
      <c r="B1192" s="160"/>
      <c r="C1192" s="161"/>
      <c r="D1192" s="113"/>
      <c r="E1192" s="11"/>
      <c r="F1192" s="1"/>
      <c r="G1192" s="162"/>
      <c r="H1192" s="163"/>
      <c r="I1192" s="163"/>
      <c r="J1192" s="163"/>
      <c r="K1192" s="163"/>
      <c r="L1192" s="104">
        <f t="shared" si="75"/>
        <v>0</v>
      </c>
      <c r="M1192" s="104"/>
      <c r="N1192" s="105"/>
    </row>
    <row r="1193" spans="2:14" s="198" customFormat="1" ht="25.5">
      <c r="B1193" s="194">
        <v>1109</v>
      </c>
      <c r="C1193" s="195">
        <v>121</v>
      </c>
      <c r="D1193" s="135" t="s">
        <v>19</v>
      </c>
      <c r="E1193" s="196" t="s">
        <v>837</v>
      </c>
      <c r="F1193" s="197" t="s">
        <v>838</v>
      </c>
      <c r="G1193" s="131" t="s">
        <v>607</v>
      </c>
      <c r="H1193" s="164" t="s">
        <v>671</v>
      </c>
      <c r="I1193" s="131"/>
      <c r="J1193" s="131"/>
      <c r="K1193" s="131"/>
      <c r="L1193" s="193">
        <f>SUM(L1194:L1198)</f>
        <v>9523.81</v>
      </c>
      <c r="M1193" s="133">
        <v>47619.05</v>
      </c>
      <c r="N1193" s="133">
        <v>28571.43</v>
      </c>
    </row>
    <row r="1194" spans="2:14" ht="15.75">
      <c r="B1194" s="106">
        <v>1110</v>
      </c>
      <c r="C1194" s="107">
        <v>121</v>
      </c>
      <c r="D1194" s="108"/>
      <c r="E1194" s="25"/>
      <c r="F1194" s="25"/>
      <c r="G1194" s="112" t="s">
        <v>466</v>
      </c>
      <c r="H1194" s="112">
        <v>9523.81</v>
      </c>
      <c r="I1194" s="112">
        <v>1</v>
      </c>
      <c r="J1194" s="112">
        <v>1</v>
      </c>
      <c r="K1194" s="112">
        <v>1</v>
      </c>
      <c r="L1194" s="104">
        <f>H1194*I1194*J1194*K1194</f>
        <v>9523.81</v>
      </c>
      <c r="M1194" s="111"/>
      <c r="N1194" s="111"/>
    </row>
    <row r="1195" spans="2:14" ht="15.75">
      <c r="B1195" s="106">
        <v>1111</v>
      </c>
      <c r="C1195" s="107">
        <v>121</v>
      </c>
      <c r="D1195" s="108"/>
      <c r="E1195" s="25"/>
      <c r="F1195" s="25"/>
      <c r="G1195" s="112" t="s">
        <v>467</v>
      </c>
      <c r="H1195" s="112"/>
      <c r="I1195" s="112"/>
      <c r="J1195" s="112"/>
      <c r="K1195" s="112"/>
      <c r="L1195" s="104">
        <f t="shared" ref="L1195:L1198" si="76">H1195*I1195*J1195*K1195</f>
        <v>0</v>
      </c>
      <c r="M1195" s="111"/>
      <c r="N1195" s="111"/>
    </row>
    <row r="1196" spans="2:14" ht="15.75">
      <c r="B1196" s="106">
        <v>1112</v>
      </c>
      <c r="C1196" s="107">
        <v>121</v>
      </c>
      <c r="D1196" s="108"/>
      <c r="E1196" s="25"/>
      <c r="F1196" s="25"/>
      <c r="G1196" s="112" t="s">
        <v>468</v>
      </c>
      <c r="H1196" s="112"/>
      <c r="I1196" s="112"/>
      <c r="J1196" s="112"/>
      <c r="K1196" s="112"/>
      <c r="L1196" s="104">
        <f t="shared" si="76"/>
        <v>0</v>
      </c>
      <c r="M1196" s="111"/>
      <c r="N1196" s="111"/>
    </row>
    <row r="1197" spans="2:14" ht="15.75">
      <c r="B1197" s="106">
        <v>1113</v>
      </c>
      <c r="C1197" s="107">
        <v>121</v>
      </c>
      <c r="D1197" s="108"/>
      <c r="E1197" s="25"/>
      <c r="F1197" s="25"/>
      <c r="G1197" s="112" t="s">
        <v>469</v>
      </c>
      <c r="H1197" s="112"/>
      <c r="I1197" s="112"/>
      <c r="J1197" s="112"/>
      <c r="K1197" s="112"/>
      <c r="L1197" s="104">
        <f t="shared" si="76"/>
        <v>0</v>
      </c>
      <c r="M1197" s="111"/>
      <c r="N1197" s="111"/>
    </row>
    <row r="1198" spans="2:14" ht="15.75">
      <c r="B1198" s="106">
        <v>1114</v>
      </c>
      <c r="C1198" s="107">
        <v>121</v>
      </c>
      <c r="D1198" s="108"/>
      <c r="E1198" s="25"/>
      <c r="F1198" s="25"/>
      <c r="G1198" s="112" t="s">
        <v>470</v>
      </c>
      <c r="H1198" s="112"/>
      <c r="I1198" s="112"/>
      <c r="J1198" s="112"/>
      <c r="K1198" s="112"/>
      <c r="L1198" s="104">
        <f t="shared" si="76"/>
        <v>0</v>
      </c>
      <c r="M1198" s="111"/>
      <c r="N1198" s="111"/>
    </row>
    <row r="1199" spans="2:14" s="138" customFormat="1" ht="38.25">
      <c r="B1199" s="126">
        <v>1115</v>
      </c>
      <c r="C1199" s="127">
        <v>122</v>
      </c>
      <c r="D1199" s="135" t="s">
        <v>17</v>
      </c>
      <c r="E1199" s="129" t="s">
        <v>16</v>
      </c>
      <c r="F1199" s="136" t="s">
        <v>839</v>
      </c>
      <c r="G1199" s="131" t="s">
        <v>16</v>
      </c>
      <c r="H1199" s="137" t="s">
        <v>671</v>
      </c>
      <c r="I1199" s="131"/>
      <c r="J1199" s="131"/>
      <c r="K1199" s="131"/>
      <c r="L1199" s="193">
        <f>SUM(L1200:L1204)</f>
        <v>11330.04</v>
      </c>
      <c r="M1199" s="133">
        <v>11330.06</v>
      </c>
      <c r="N1199" s="134">
        <v>8483.380000000001</v>
      </c>
    </row>
    <row r="1200" spans="2:14" s="156" customFormat="1" ht="15.75">
      <c r="B1200" s="182"/>
      <c r="C1200" s="100"/>
      <c r="D1200" s="113"/>
      <c r="E1200" s="11"/>
      <c r="F1200" s="1"/>
      <c r="G1200" s="112" t="s">
        <v>466</v>
      </c>
      <c r="H1200" s="112">
        <v>0</v>
      </c>
      <c r="I1200" s="110">
        <v>1</v>
      </c>
      <c r="J1200" s="110">
        <v>1</v>
      </c>
      <c r="K1200" s="110">
        <v>1</v>
      </c>
      <c r="L1200" s="133">
        <f t="shared" ref="L1200:L1204" si="77">H1200*I1200*J1200*K1200</f>
        <v>0</v>
      </c>
      <c r="M1200" s="104"/>
      <c r="N1200" s="105"/>
    </row>
    <row r="1201" spans="2:14" s="156" customFormat="1" ht="15.75">
      <c r="B1201" s="182"/>
      <c r="C1201" s="100"/>
      <c r="D1201" s="113"/>
      <c r="E1201" s="11"/>
      <c r="F1201" s="1"/>
      <c r="G1201" s="112" t="s">
        <v>467</v>
      </c>
      <c r="H1201" s="112">
        <v>7060.05</v>
      </c>
      <c r="I1201" s="110">
        <v>1</v>
      </c>
      <c r="J1201" s="110">
        <v>1</v>
      </c>
      <c r="K1201" s="110">
        <v>1</v>
      </c>
      <c r="L1201" s="133">
        <f t="shared" si="77"/>
        <v>7060.05</v>
      </c>
      <c r="M1201" s="104"/>
      <c r="N1201" s="105"/>
    </row>
    <row r="1202" spans="2:14" s="156" customFormat="1" ht="15.75">
      <c r="B1202" s="182"/>
      <c r="C1202" s="100"/>
      <c r="D1202" s="113"/>
      <c r="E1202" s="11"/>
      <c r="F1202" s="1"/>
      <c r="G1202" s="112" t="s">
        <v>468</v>
      </c>
      <c r="H1202" s="112">
        <v>1423.33</v>
      </c>
      <c r="I1202" s="110">
        <v>1</v>
      </c>
      <c r="J1202" s="110">
        <v>1</v>
      </c>
      <c r="K1202" s="110">
        <v>1</v>
      </c>
      <c r="L1202" s="133">
        <f t="shared" si="77"/>
        <v>1423.33</v>
      </c>
      <c r="M1202" s="104"/>
      <c r="N1202" s="105"/>
    </row>
    <row r="1203" spans="2:14" s="156" customFormat="1" ht="15.75">
      <c r="B1203" s="182">
        <v>1116</v>
      </c>
      <c r="C1203" s="107">
        <v>122</v>
      </c>
      <c r="D1203" s="108"/>
      <c r="E1203" s="25"/>
      <c r="F1203" s="25"/>
      <c r="G1203" s="112" t="s">
        <v>469</v>
      </c>
      <c r="H1203" s="112">
        <v>1423.33</v>
      </c>
      <c r="I1203" s="110">
        <v>1</v>
      </c>
      <c r="J1203" s="110">
        <v>1</v>
      </c>
      <c r="K1203" s="110">
        <v>1</v>
      </c>
      <c r="L1203" s="133">
        <f t="shared" si="77"/>
        <v>1423.33</v>
      </c>
      <c r="M1203" s="199"/>
      <c r="N1203" s="199"/>
    </row>
    <row r="1204" spans="2:14" s="156" customFormat="1" ht="15.75">
      <c r="B1204" s="182"/>
      <c r="C1204" s="107"/>
      <c r="D1204" s="108"/>
      <c r="E1204" s="25"/>
      <c r="F1204" s="25"/>
      <c r="G1204" s="112" t="s">
        <v>470</v>
      </c>
      <c r="H1204" s="112">
        <v>1423.33</v>
      </c>
      <c r="I1204" s="110">
        <v>1</v>
      </c>
      <c r="J1204" s="110">
        <v>1</v>
      </c>
      <c r="K1204" s="110">
        <v>1</v>
      </c>
      <c r="L1204" s="133">
        <f t="shared" si="77"/>
        <v>1423.33</v>
      </c>
      <c r="M1204" s="199"/>
      <c r="N1204" s="199"/>
    </row>
    <row r="1205" spans="2:14" s="138" customFormat="1" ht="25.5">
      <c r="B1205" s="126">
        <v>1119</v>
      </c>
      <c r="C1205" s="127">
        <v>123</v>
      </c>
      <c r="D1205" s="135" t="s">
        <v>15</v>
      </c>
      <c r="E1205" s="129" t="s">
        <v>840</v>
      </c>
      <c r="F1205" s="136" t="s">
        <v>841</v>
      </c>
      <c r="G1205" s="131" t="s">
        <v>14</v>
      </c>
      <c r="H1205" s="137" t="s">
        <v>671</v>
      </c>
      <c r="I1205" s="131"/>
      <c r="J1205" s="131"/>
      <c r="K1205" s="131"/>
      <c r="L1205" s="193">
        <f>SUM(L1206:L1207)</f>
        <v>747.33</v>
      </c>
      <c r="M1205" s="133">
        <v>3736.67</v>
      </c>
      <c r="N1205" s="134">
        <v>2241.9900000000002</v>
      </c>
    </row>
    <row r="1206" spans="2:14" ht="15.75">
      <c r="B1206" s="106">
        <v>1120</v>
      </c>
      <c r="C1206" s="107">
        <v>123</v>
      </c>
      <c r="D1206" s="108"/>
      <c r="E1206" s="25"/>
      <c r="F1206" s="25"/>
      <c r="G1206" s="112" t="s">
        <v>447</v>
      </c>
      <c r="H1206" s="112">
        <v>1.19</v>
      </c>
      <c r="I1206" s="112">
        <f>50</f>
        <v>50</v>
      </c>
      <c r="J1206" s="110">
        <v>1</v>
      </c>
      <c r="K1206" s="112">
        <v>12</v>
      </c>
      <c r="L1206" s="104">
        <f t="shared" ref="L1206:L1211" si="78">H1206*I1206*J1206*K1206</f>
        <v>714</v>
      </c>
      <c r="M1206" s="111"/>
      <c r="N1206" s="111"/>
    </row>
    <row r="1207" spans="2:14" ht="15.75">
      <c r="B1207" s="106">
        <v>1121</v>
      </c>
      <c r="C1207" s="107">
        <v>123</v>
      </c>
      <c r="D1207" s="108"/>
      <c r="E1207" s="25"/>
      <c r="F1207" s="25"/>
      <c r="G1207" s="112" t="s">
        <v>459</v>
      </c>
      <c r="H1207" s="112">
        <f>2.78-(0.0299999999999727/12)</f>
        <v>2.7775000000000021</v>
      </c>
      <c r="I1207" s="112">
        <v>1</v>
      </c>
      <c r="J1207" s="110">
        <v>1</v>
      </c>
      <c r="K1207" s="112">
        <v>12</v>
      </c>
      <c r="L1207" s="104">
        <f t="shared" si="78"/>
        <v>33.330000000000027</v>
      </c>
      <c r="M1207" s="111"/>
      <c r="N1207" s="111"/>
    </row>
    <row r="1208" spans="2:14" s="138" customFormat="1" ht="38.25">
      <c r="B1208" s="126">
        <v>1122</v>
      </c>
      <c r="C1208" s="127">
        <v>124</v>
      </c>
      <c r="D1208" s="135" t="s">
        <v>13</v>
      </c>
      <c r="E1208" s="129" t="s">
        <v>12</v>
      </c>
      <c r="F1208" s="136" t="s">
        <v>842</v>
      </c>
      <c r="G1208" s="131" t="s">
        <v>12</v>
      </c>
      <c r="H1208" s="137" t="s">
        <v>671</v>
      </c>
      <c r="I1208" s="131"/>
      <c r="J1208" s="131"/>
      <c r="K1208" s="131"/>
      <c r="L1208" s="193">
        <f>SUM(L1209)</f>
        <v>0</v>
      </c>
      <c r="M1208" s="133">
        <v>0</v>
      </c>
      <c r="N1208" s="133">
        <v>0</v>
      </c>
    </row>
    <row r="1209" spans="2:14" ht="24">
      <c r="B1209" s="106">
        <v>1123</v>
      </c>
      <c r="C1209" s="107">
        <v>124</v>
      </c>
      <c r="D1209" s="108"/>
      <c r="E1209" s="25"/>
      <c r="F1209" s="25"/>
      <c r="G1209" s="112" t="s">
        <v>635</v>
      </c>
      <c r="H1209" s="112">
        <v>12000</v>
      </c>
      <c r="I1209" s="112">
        <v>0</v>
      </c>
      <c r="J1209" s="112">
        <v>1</v>
      </c>
      <c r="K1209" s="112">
        <v>5</v>
      </c>
      <c r="L1209" s="104">
        <f t="shared" si="78"/>
        <v>0</v>
      </c>
      <c r="M1209" s="111"/>
      <c r="N1209" s="111"/>
    </row>
    <row r="1210" spans="2:14" s="138" customFormat="1" ht="38.25">
      <c r="B1210" s="126">
        <v>1124</v>
      </c>
      <c r="C1210" s="127">
        <v>125</v>
      </c>
      <c r="D1210" s="135" t="s">
        <v>11</v>
      </c>
      <c r="E1210" s="129" t="s">
        <v>10</v>
      </c>
      <c r="F1210" s="136" t="s">
        <v>811</v>
      </c>
      <c r="G1210" s="131" t="s">
        <v>636</v>
      </c>
      <c r="H1210" s="137" t="s">
        <v>671</v>
      </c>
      <c r="I1210" s="131"/>
      <c r="J1210" s="131"/>
      <c r="K1210" s="131"/>
      <c r="L1210" s="193">
        <f>SUM(L1211)</f>
        <v>0</v>
      </c>
      <c r="M1210" s="133">
        <v>0</v>
      </c>
      <c r="N1210" s="134">
        <v>0</v>
      </c>
    </row>
    <row r="1211" spans="2:14" ht="15.75">
      <c r="B1211" s="106">
        <v>1125</v>
      </c>
      <c r="C1211" s="107">
        <v>125</v>
      </c>
      <c r="D1211" s="108"/>
      <c r="E1211" s="25"/>
      <c r="F1211" s="25"/>
      <c r="G1211" s="112" t="s">
        <v>637</v>
      </c>
      <c r="H1211" s="112">
        <v>30000</v>
      </c>
      <c r="I1211" s="112">
        <v>0</v>
      </c>
      <c r="J1211" s="112">
        <v>1</v>
      </c>
      <c r="K1211" s="112">
        <v>1</v>
      </c>
      <c r="L1211" s="104">
        <f t="shared" si="78"/>
        <v>0</v>
      </c>
      <c r="M1211" s="111"/>
      <c r="N1211" s="111"/>
    </row>
    <row r="1212" spans="2:14" s="138" customFormat="1" ht="38.25">
      <c r="B1212" s="126">
        <v>9999</v>
      </c>
      <c r="C1212" s="158">
        <v>126</v>
      </c>
      <c r="D1212" s="135" t="s">
        <v>9</v>
      </c>
      <c r="E1212" s="129" t="s">
        <v>856</v>
      </c>
      <c r="F1212" s="136"/>
      <c r="G1212" s="132"/>
      <c r="H1212" s="159"/>
      <c r="I1212" s="159"/>
      <c r="J1212" s="159"/>
      <c r="K1212" s="159"/>
      <c r="L1212" s="193">
        <f>SUM(L1213:L1217)</f>
        <v>30000</v>
      </c>
      <c r="M1212" s="133">
        <v>150000</v>
      </c>
      <c r="N1212" s="134">
        <v>150000</v>
      </c>
    </row>
    <row r="1213" spans="2:14" s="156" customFormat="1" ht="15.75">
      <c r="B1213" s="182"/>
      <c r="C1213" s="161"/>
      <c r="D1213" s="113"/>
      <c r="E1213" s="11"/>
      <c r="F1213" s="1"/>
      <c r="G1213" s="200" t="s">
        <v>466</v>
      </c>
      <c r="H1213" s="163">
        <v>0</v>
      </c>
      <c r="I1213" s="112">
        <v>1</v>
      </c>
      <c r="J1213" s="112">
        <v>1</v>
      </c>
      <c r="K1213" s="112">
        <v>1</v>
      </c>
      <c r="L1213" s="133">
        <f>H1213*I1213*J1213*K1213</f>
        <v>0</v>
      </c>
      <c r="M1213" s="104"/>
      <c r="N1213" s="105"/>
    </row>
    <row r="1214" spans="2:14" s="156" customFormat="1" ht="15.75">
      <c r="B1214" s="182"/>
      <c r="C1214" s="161"/>
      <c r="D1214" s="113"/>
      <c r="E1214" s="11"/>
      <c r="F1214" s="1"/>
      <c r="G1214" s="200" t="s">
        <v>467</v>
      </c>
      <c r="H1214" s="163">
        <v>0</v>
      </c>
      <c r="I1214" s="112">
        <v>1</v>
      </c>
      <c r="J1214" s="112">
        <v>1</v>
      </c>
      <c r="K1214" s="112">
        <v>1</v>
      </c>
      <c r="L1214" s="133">
        <f t="shared" ref="L1214:L1217" si="79">H1214*I1214*J1214*K1214</f>
        <v>0</v>
      </c>
      <c r="M1214" s="104"/>
      <c r="N1214" s="105"/>
    </row>
    <row r="1215" spans="2:14" s="156" customFormat="1" ht="15.75">
      <c r="B1215" s="182"/>
      <c r="C1215" s="161"/>
      <c r="D1215" s="113"/>
      <c r="E1215" s="11"/>
      <c r="F1215" s="1"/>
      <c r="G1215" s="200" t="s">
        <v>468</v>
      </c>
      <c r="H1215" s="163">
        <v>30000</v>
      </c>
      <c r="I1215" s="112">
        <v>1</v>
      </c>
      <c r="J1215" s="112">
        <v>1</v>
      </c>
      <c r="K1215" s="112">
        <v>1</v>
      </c>
      <c r="L1215" s="133">
        <f t="shared" si="79"/>
        <v>30000</v>
      </c>
      <c r="M1215" s="104"/>
      <c r="N1215" s="105"/>
    </row>
    <row r="1216" spans="2:14" s="156" customFormat="1" ht="15.75">
      <c r="B1216" s="182"/>
      <c r="C1216" s="161"/>
      <c r="D1216" s="113"/>
      <c r="E1216" s="11"/>
      <c r="F1216" s="1"/>
      <c r="G1216" s="200" t="s">
        <v>469</v>
      </c>
      <c r="H1216" s="163">
        <v>0</v>
      </c>
      <c r="I1216" s="112">
        <v>1</v>
      </c>
      <c r="J1216" s="112">
        <v>1</v>
      </c>
      <c r="K1216" s="112">
        <v>1</v>
      </c>
      <c r="L1216" s="133">
        <f t="shared" si="79"/>
        <v>0</v>
      </c>
      <c r="M1216" s="104"/>
      <c r="N1216" s="105"/>
    </row>
    <row r="1217" spans="2:14" s="156" customFormat="1" ht="15.75">
      <c r="B1217" s="182"/>
      <c r="C1217" s="161"/>
      <c r="D1217" s="113"/>
      <c r="E1217" s="11"/>
      <c r="F1217" s="1"/>
      <c r="G1217" s="200" t="s">
        <v>470</v>
      </c>
      <c r="H1217" s="163">
        <v>0</v>
      </c>
      <c r="I1217" s="112">
        <v>1</v>
      </c>
      <c r="J1217" s="112">
        <v>1</v>
      </c>
      <c r="K1217" s="112">
        <v>1</v>
      </c>
      <c r="L1217" s="133">
        <f t="shared" si="79"/>
        <v>0</v>
      </c>
      <c r="M1217" s="104"/>
      <c r="N1217" s="105"/>
    </row>
    <row r="1218" spans="2:14" s="138" customFormat="1" ht="76.5">
      <c r="B1218" s="126">
        <v>1126</v>
      </c>
      <c r="C1218" s="127">
        <v>127</v>
      </c>
      <c r="D1218" s="135" t="s">
        <v>7</v>
      </c>
      <c r="E1218" s="129" t="s">
        <v>364</v>
      </c>
      <c r="F1218" s="136" t="s">
        <v>843</v>
      </c>
      <c r="G1218" s="131" t="s">
        <v>631</v>
      </c>
      <c r="H1218" s="137" t="s">
        <v>671</v>
      </c>
      <c r="I1218" s="131"/>
      <c r="J1218" s="131"/>
      <c r="K1218" s="131"/>
      <c r="L1218" s="193">
        <f>SUM(L1219:L1233)</f>
        <v>11013.44</v>
      </c>
      <c r="M1218" s="166">
        <v>11013.44</v>
      </c>
      <c r="N1218" s="134">
        <v>12286.78</v>
      </c>
    </row>
    <row r="1219" spans="2:14" ht="15.75">
      <c r="B1219" s="106">
        <v>1127</v>
      </c>
      <c r="C1219" s="117">
        <v>127</v>
      </c>
      <c r="D1219" s="118"/>
      <c r="E1219" s="55"/>
      <c r="F1219" s="55"/>
      <c r="G1219" s="119" t="s">
        <v>453</v>
      </c>
      <c r="H1219" s="120">
        <v>25</v>
      </c>
      <c r="I1219" s="121">
        <v>2</v>
      </c>
      <c r="J1219" s="121">
        <v>1</v>
      </c>
      <c r="K1219" s="121">
        <v>5</v>
      </c>
      <c r="L1219" s="121">
        <f>H1219*I1219*J1219*K1219</f>
        <v>250</v>
      </c>
      <c r="M1219" s="111"/>
      <c r="N1219" s="111"/>
    </row>
    <row r="1220" spans="2:14" ht="15.75">
      <c r="B1220" s="106">
        <v>1128</v>
      </c>
      <c r="C1220" s="117">
        <v>127</v>
      </c>
      <c r="D1220" s="118"/>
      <c r="E1220" s="55"/>
      <c r="F1220" s="55"/>
      <c r="G1220" s="119" t="s">
        <v>462</v>
      </c>
      <c r="H1220" s="120">
        <v>25</v>
      </c>
      <c r="I1220" s="121">
        <v>1</v>
      </c>
      <c r="J1220" s="121">
        <v>1</v>
      </c>
      <c r="K1220" s="120">
        <v>5</v>
      </c>
      <c r="L1220" s="121">
        <f t="shared" ref="L1220:L1233" si="80">H1220*I1220*J1220*K1220</f>
        <v>125</v>
      </c>
      <c r="M1220" s="111"/>
      <c r="N1220" s="111"/>
    </row>
    <row r="1221" spans="2:14" ht="15.75">
      <c r="B1221" s="106">
        <v>1129</v>
      </c>
      <c r="C1221" s="117">
        <v>127</v>
      </c>
      <c r="D1221" s="118"/>
      <c r="E1221" s="55"/>
      <c r="F1221" s="55"/>
      <c r="G1221" s="119" t="s">
        <v>429</v>
      </c>
      <c r="H1221" s="120">
        <v>4</v>
      </c>
      <c r="I1221" s="121">
        <v>50</v>
      </c>
      <c r="J1221" s="121">
        <v>1</v>
      </c>
      <c r="K1221" s="120">
        <v>5</v>
      </c>
      <c r="L1221" s="121">
        <f t="shared" si="80"/>
        <v>1000</v>
      </c>
      <c r="M1221" s="111"/>
      <c r="N1221" s="111"/>
    </row>
    <row r="1222" spans="2:14" ht="15.75">
      <c r="B1222" s="106">
        <v>1130</v>
      </c>
      <c r="C1222" s="117">
        <v>127</v>
      </c>
      <c r="D1222" s="118"/>
      <c r="E1222" s="55"/>
      <c r="F1222" s="55"/>
      <c r="G1222" s="119" t="s">
        <v>430</v>
      </c>
      <c r="H1222" s="120">
        <v>8</v>
      </c>
      <c r="I1222" s="121">
        <v>50</v>
      </c>
      <c r="J1222" s="121">
        <v>1</v>
      </c>
      <c r="K1222" s="120">
        <v>5</v>
      </c>
      <c r="L1222" s="121">
        <f t="shared" si="80"/>
        <v>2000</v>
      </c>
      <c r="M1222" s="111"/>
      <c r="N1222" s="111"/>
    </row>
    <row r="1223" spans="2:14" ht="24">
      <c r="B1223" s="106">
        <v>1131</v>
      </c>
      <c r="C1223" s="117">
        <v>127</v>
      </c>
      <c r="D1223" s="118"/>
      <c r="E1223" s="55"/>
      <c r="F1223" s="55"/>
      <c r="G1223" s="119" t="s">
        <v>431</v>
      </c>
      <c r="H1223" s="120">
        <v>10</v>
      </c>
      <c r="I1223" s="121">
        <v>50</v>
      </c>
      <c r="J1223" s="121">
        <v>1</v>
      </c>
      <c r="K1223" s="120">
        <v>5</v>
      </c>
      <c r="L1223" s="121">
        <f t="shared" si="80"/>
        <v>2500</v>
      </c>
      <c r="M1223" s="111"/>
      <c r="N1223" s="111"/>
    </row>
    <row r="1224" spans="2:14" ht="15.75">
      <c r="B1224" s="106">
        <v>1132</v>
      </c>
      <c r="C1224" s="117">
        <v>127</v>
      </c>
      <c r="D1224" s="118"/>
      <c r="E1224" s="55"/>
      <c r="F1224" s="55"/>
      <c r="G1224" s="119" t="s">
        <v>432</v>
      </c>
      <c r="H1224" s="120">
        <v>8</v>
      </c>
      <c r="I1224" s="121">
        <v>1</v>
      </c>
      <c r="J1224" s="121">
        <v>1</v>
      </c>
      <c r="K1224" s="120">
        <v>5</v>
      </c>
      <c r="L1224" s="121">
        <f t="shared" si="80"/>
        <v>40</v>
      </c>
      <c r="M1224" s="111"/>
      <c r="N1224" s="111"/>
    </row>
    <row r="1225" spans="2:14" ht="24">
      <c r="B1225" s="106">
        <v>1133</v>
      </c>
      <c r="C1225" s="117">
        <v>127</v>
      </c>
      <c r="D1225" s="118"/>
      <c r="E1225" s="55"/>
      <c r="F1225" s="55"/>
      <c r="G1225" s="119" t="s">
        <v>481</v>
      </c>
      <c r="H1225" s="120">
        <v>105</v>
      </c>
      <c r="I1225" s="121">
        <v>4</v>
      </c>
      <c r="J1225" s="121">
        <v>1</v>
      </c>
      <c r="K1225" s="120">
        <v>7</v>
      </c>
      <c r="L1225" s="121">
        <f t="shared" si="80"/>
        <v>2940</v>
      </c>
      <c r="M1225" s="111"/>
      <c r="N1225" s="111"/>
    </row>
    <row r="1226" spans="2:14" ht="15.75">
      <c r="B1226" s="106">
        <v>1134</v>
      </c>
      <c r="C1226" s="117">
        <v>127</v>
      </c>
      <c r="D1226" s="118"/>
      <c r="E1226" s="55"/>
      <c r="F1226" s="55"/>
      <c r="G1226" s="119" t="s">
        <v>434</v>
      </c>
      <c r="H1226" s="120">
        <v>10</v>
      </c>
      <c r="I1226" s="121">
        <v>54</v>
      </c>
      <c r="J1226" s="121">
        <v>1</v>
      </c>
      <c r="K1226" s="120">
        <v>1</v>
      </c>
      <c r="L1226" s="121">
        <f t="shared" si="80"/>
        <v>540</v>
      </c>
      <c r="M1226" s="111"/>
      <c r="N1226" s="111"/>
    </row>
    <row r="1227" spans="2:14" ht="15.75">
      <c r="B1227" s="106">
        <v>1135</v>
      </c>
      <c r="C1227" s="117">
        <v>127</v>
      </c>
      <c r="D1227" s="118"/>
      <c r="E1227" s="55"/>
      <c r="F1227" s="55"/>
      <c r="G1227" s="119" t="s">
        <v>455</v>
      </c>
      <c r="H1227" s="120">
        <v>260</v>
      </c>
      <c r="I1227" s="121">
        <v>4</v>
      </c>
      <c r="J1227" s="121">
        <v>1</v>
      </c>
      <c r="K1227" s="120">
        <v>1</v>
      </c>
      <c r="L1227" s="121">
        <f t="shared" si="80"/>
        <v>1040</v>
      </c>
      <c r="M1227" s="111"/>
      <c r="N1227" s="111"/>
    </row>
    <row r="1228" spans="2:14" ht="15.75">
      <c r="B1228" s="106">
        <v>1136</v>
      </c>
      <c r="C1228" s="117">
        <v>127</v>
      </c>
      <c r="D1228" s="118"/>
      <c r="E1228" s="55"/>
      <c r="F1228" s="55"/>
      <c r="G1228" s="119" t="s">
        <v>435</v>
      </c>
      <c r="H1228" s="120">
        <v>70</v>
      </c>
      <c r="I1228" s="121">
        <v>0</v>
      </c>
      <c r="J1228" s="121">
        <v>1</v>
      </c>
      <c r="K1228" s="120">
        <v>5</v>
      </c>
      <c r="L1228" s="121">
        <f t="shared" si="80"/>
        <v>0</v>
      </c>
      <c r="M1228" s="111"/>
      <c r="N1228" s="111"/>
    </row>
    <row r="1229" spans="2:14" ht="15.75">
      <c r="B1229" s="106">
        <v>1137</v>
      </c>
      <c r="C1229" s="117">
        <v>127</v>
      </c>
      <c r="D1229" s="118"/>
      <c r="E1229" s="55"/>
      <c r="F1229" s="55"/>
      <c r="G1229" s="119" t="s">
        <v>443</v>
      </c>
      <c r="H1229" s="120">
        <v>8.33</v>
      </c>
      <c r="I1229" s="121">
        <v>2</v>
      </c>
      <c r="J1229" s="121">
        <v>1</v>
      </c>
      <c r="K1229" s="120">
        <v>1</v>
      </c>
      <c r="L1229" s="121">
        <f t="shared" si="80"/>
        <v>16.66</v>
      </c>
      <c r="M1229" s="111"/>
      <c r="N1229" s="111"/>
    </row>
    <row r="1230" spans="2:14" ht="15.75">
      <c r="B1230" s="106">
        <v>1138</v>
      </c>
      <c r="C1230" s="117">
        <v>127</v>
      </c>
      <c r="D1230" s="118"/>
      <c r="E1230" s="55"/>
      <c r="F1230" s="55"/>
      <c r="G1230" s="119" t="s">
        <v>464</v>
      </c>
      <c r="H1230" s="120">
        <f>305.56+13.380000000001</f>
        <v>318.94000000000102</v>
      </c>
      <c r="I1230" s="120">
        <v>1</v>
      </c>
      <c r="J1230" s="120">
        <v>1</v>
      </c>
      <c r="K1230" s="120">
        <v>1</v>
      </c>
      <c r="L1230" s="121">
        <f t="shared" si="80"/>
        <v>318.94000000000102</v>
      </c>
      <c r="M1230" s="111"/>
      <c r="N1230" s="111"/>
    </row>
    <row r="1231" spans="2:14" ht="15.75">
      <c r="B1231" s="106">
        <v>1139</v>
      </c>
      <c r="C1231" s="117">
        <v>127</v>
      </c>
      <c r="D1231" s="118"/>
      <c r="E1231" s="55"/>
      <c r="F1231" s="55"/>
      <c r="G1231" s="119" t="s">
        <v>465</v>
      </c>
      <c r="H1231" s="120">
        <v>166.67</v>
      </c>
      <c r="I1231" s="120">
        <v>1</v>
      </c>
      <c r="J1231" s="120">
        <v>1</v>
      </c>
      <c r="K1231" s="120">
        <v>1</v>
      </c>
      <c r="L1231" s="121">
        <f t="shared" si="80"/>
        <v>166.67</v>
      </c>
      <c r="M1231" s="111"/>
      <c r="N1231" s="111"/>
    </row>
    <row r="1232" spans="2:14" ht="15.75">
      <c r="B1232" s="106">
        <v>1140</v>
      </c>
      <c r="C1232" s="117">
        <v>127</v>
      </c>
      <c r="D1232" s="118"/>
      <c r="E1232" s="55"/>
      <c r="F1232" s="55"/>
      <c r="G1232" s="119" t="s">
        <v>447</v>
      </c>
      <c r="H1232" s="120">
        <v>1.19</v>
      </c>
      <c r="I1232" s="120">
        <v>10</v>
      </c>
      <c r="J1232" s="120">
        <v>1</v>
      </c>
      <c r="K1232" s="120">
        <v>5</v>
      </c>
      <c r="L1232" s="121">
        <f t="shared" si="80"/>
        <v>59.499999999999993</v>
      </c>
      <c r="M1232" s="111"/>
      <c r="N1232" s="111"/>
    </row>
    <row r="1233" spans="1:14" ht="15.75">
      <c r="B1233" s="106">
        <v>1141</v>
      </c>
      <c r="C1233" s="117">
        <v>127</v>
      </c>
      <c r="D1233" s="118"/>
      <c r="E1233" s="55"/>
      <c r="F1233" s="55"/>
      <c r="G1233" s="119" t="s">
        <v>459</v>
      </c>
      <c r="H1233" s="120">
        <v>16.670000000000002</v>
      </c>
      <c r="I1233" s="120">
        <v>1</v>
      </c>
      <c r="J1233" s="120">
        <v>1</v>
      </c>
      <c r="K1233" s="120">
        <v>1</v>
      </c>
      <c r="L1233" s="121">
        <f t="shared" si="80"/>
        <v>16.670000000000002</v>
      </c>
      <c r="M1233" s="111"/>
      <c r="N1233" s="111"/>
    </row>
    <row r="1234" spans="1:14" s="138" customFormat="1" ht="51">
      <c r="B1234" s="126">
        <v>1142</v>
      </c>
      <c r="C1234" s="127">
        <v>128</v>
      </c>
      <c r="D1234" s="135" t="s">
        <v>6</v>
      </c>
      <c r="E1234" s="201" t="s">
        <v>386</v>
      </c>
      <c r="F1234" s="136" t="s">
        <v>844</v>
      </c>
      <c r="G1234" s="131" t="s">
        <v>632</v>
      </c>
      <c r="H1234" s="137" t="s">
        <v>671</v>
      </c>
      <c r="I1234" s="131"/>
      <c r="J1234" s="131"/>
      <c r="K1234" s="131"/>
      <c r="L1234" s="193">
        <f>SUM(L1235:L1235)</f>
        <v>152.30000000000001</v>
      </c>
      <c r="M1234" s="133">
        <v>12536.78</v>
      </c>
      <c r="N1234" s="134">
        <v>0</v>
      </c>
    </row>
    <row r="1235" spans="1:14" ht="15.75">
      <c r="B1235" s="106">
        <v>1156</v>
      </c>
      <c r="C1235" s="117">
        <v>128</v>
      </c>
      <c r="D1235" s="118"/>
      <c r="E1235" s="55"/>
      <c r="F1235" s="55"/>
      <c r="G1235" s="119" t="s">
        <v>884</v>
      </c>
      <c r="H1235" s="120">
        <v>152.30000000000001</v>
      </c>
      <c r="I1235" s="120">
        <v>1</v>
      </c>
      <c r="J1235" s="120">
        <v>1</v>
      </c>
      <c r="K1235" s="120">
        <v>1</v>
      </c>
      <c r="L1235" s="121">
        <f>H1235*I1235*J1235*K1235</f>
        <v>152.30000000000001</v>
      </c>
      <c r="M1235" s="111"/>
      <c r="N1235" s="111"/>
    </row>
    <row r="1236" spans="1:14" s="138" customFormat="1" ht="38.25">
      <c r="B1236" s="126">
        <v>1158</v>
      </c>
      <c r="C1236" s="127">
        <v>129</v>
      </c>
      <c r="D1236" s="135" t="s">
        <v>5</v>
      </c>
      <c r="E1236" s="201" t="s">
        <v>373</v>
      </c>
      <c r="F1236" s="136"/>
      <c r="G1236" s="131"/>
      <c r="H1236" s="137" t="s">
        <v>671</v>
      </c>
      <c r="I1236" s="131"/>
      <c r="J1236" s="131"/>
      <c r="K1236" s="131"/>
      <c r="L1236" s="193">
        <f>SUM(L1242:L1245)</f>
        <v>66456</v>
      </c>
      <c r="M1236" s="133">
        <v>19612.11</v>
      </c>
      <c r="N1236" s="134">
        <v>19612.123333333329</v>
      </c>
    </row>
    <row r="1237" spans="1:14">
      <c r="B1237" s="106">
        <v>1159</v>
      </c>
      <c r="C1237" s="117">
        <v>129</v>
      </c>
      <c r="D1237" s="55"/>
      <c r="E1237" s="55"/>
      <c r="F1237" s="55"/>
      <c r="G1237" s="119" t="s">
        <v>466</v>
      </c>
      <c r="H1237" s="120">
        <v>44304</v>
      </c>
      <c r="I1237" s="119">
        <v>1</v>
      </c>
      <c r="J1237" s="119">
        <v>1</v>
      </c>
      <c r="K1237" s="120">
        <v>1</v>
      </c>
      <c r="L1237" s="164">
        <f>((L1236/3)*2)</f>
        <v>44304</v>
      </c>
      <c r="M1237" s="111"/>
      <c r="N1237" s="111"/>
    </row>
    <row r="1238" spans="1:14">
      <c r="B1238" s="106">
        <v>1160</v>
      </c>
      <c r="C1238" s="117">
        <v>129</v>
      </c>
      <c r="D1238" s="55"/>
      <c r="E1238" s="55"/>
      <c r="F1238" s="55"/>
      <c r="G1238" s="119" t="s">
        <v>467</v>
      </c>
      <c r="H1238" s="120">
        <v>0</v>
      </c>
      <c r="I1238" s="119">
        <v>1</v>
      </c>
      <c r="J1238" s="119">
        <v>1</v>
      </c>
      <c r="K1238" s="120">
        <v>1</v>
      </c>
      <c r="L1238" s="164">
        <v>0</v>
      </c>
      <c r="M1238" s="111"/>
      <c r="N1238" s="111"/>
    </row>
    <row r="1239" spans="1:14">
      <c r="B1239" s="106">
        <v>1161</v>
      </c>
      <c r="C1239" s="117">
        <v>129</v>
      </c>
      <c r="D1239" s="55"/>
      <c r="E1239" s="55"/>
      <c r="F1239" s="55"/>
      <c r="G1239" s="119" t="s">
        <v>468</v>
      </c>
      <c r="H1239" s="120">
        <v>22152</v>
      </c>
      <c r="I1239" s="119">
        <v>1</v>
      </c>
      <c r="J1239" s="119">
        <v>1</v>
      </c>
      <c r="K1239" s="120">
        <v>1</v>
      </c>
      <c r="L1239" s="164">
        <f>((L1236/3)*1)</f>
        <v>22152</v>
      </c>
      <c r="M1239" s="111"/>
      <c r="N1239" s="111"/>
    </row>
    <row r="1240" spans="1:14">
      <c r="B1240" s="106">
        <v>1162</v>
      </c>
      <c r="C1240" s="117">
        <v>129</v>
      </c>
      <c r="D1240" s="55"/>
      <c r="E1240" s="55"/>
      <c r="F1240" s="55"/>
      <c r="G1240" s="119" t="s">
        <v>469</v>
      </c>
      <c r="H1240" s="120">
        <v>0</v>
      </c>
      <c r="I1240" s="119">
        <v>1</v>
      </c>
      <c r="J1240" s="119">
        <v>1</v>
      </c>
      <c r="K1240" s="120">
        <v>1</v>
      </c>
      <c r="L1240" s="164">
        <v>0</v>
      </c>
      <c r="M1240" s="111"/>
      <c r="N1240" s="111"/>
    </row>
    <row r="1241" spans="1:14">
      <c r="B1241" s="106">
        <v>1163</v>
      </c>
      <c r="C1241" s="117">
        <v>129</v>
      </c>
      <c r="D1241" s="55"/>
      <c r="E1241" s="55"/>
      <c r="F1241" s="55"/>
      <c r="G1241" s="119" t="s">
        <v>470</v>
      </c>
      <c r="H1241" s="120">
        <v>0</v>
      </c>
      <c r="I1241" s="119">
        <v>1</v>
      </c>
      <c r="J1241" s="119">
        <v>1</v>
      </c>
      <c r="K1241" s="120">
        <v>1</v>
      </c>
      <c r="L1241" s="164">
        <v>0</v>
      </c>
      <c r="M1241" s="111"/>
      <c r="N1241" s="111"/>
    </row>
    <row r="1242" spans="1:14" customFormat="1">
      <c r="A1242" s="89"/>
      <c r="B1242" s="320"/>
      <c r="C1242" s="55"/>
      <c r="D1242" s="55"/>
      <c r="E1242" s="55"/>
      <c r="F1242" s="55"/>
      <c r="G1242" s="316" t="s">
        <v>448</v>
      </c>
      <c r="H1242" s="317">
        <v>2000</v>
      </c>
      <c r="I1242" s="318">
        <v>3</v>
      </c>
      <c r="J1242" s="318">
        <v>1</v>
      </c>
      <c r="K1242" s="318">
        <v>3</v>
      </c>
      <c r="L1242" s="319">
        <f>+H1242*I1242*J1242*K1242</f>
        <v>18000</v>
      </c>
      <c r="M1242" s="318">
        <v>3</v>
      </c>
      <c r="N1242" s="319">
        <f>+J1242*K1242*L1242*M1242</f>
        <v>162000</v>
      </c>
    </row>
    <row r="1243" spans="1:14" customFormat="1">
      <c r="A1243" s="89"/>
      <c r="B1243" s="320"/>
      <c r="C1243" s="55"/>
      <c r="D1243" s="55"/>
      <c r="E1243" s="55"/>
      <c r="F1243" s="55"/>
      <c r="G1243" s="316" t="s">
        <v>449</v>
      </c>
      <c r="H1243" s="317">
        <v>300</v>
      </c>
      <c r="I1243" s="318">
        <v>3</v>
      </c>
      <c r="J1243" s="318">
        <v>1</v>
      </c>
      <c r="K1243" s="318">
        <v>45</v>
      </c>
      <c r="L1243" s="319">
        <f t="shared" ref="L1243:L1245" si="81">+H1243*I1243*J1243*K1243</f>
        <v>40500</v>
      </c>
      <c r="M1243" s="318">
        <v>45</v>
      </c>
      <c r="N1243" s="319">
        <f t="shared" ref="N1243:N1245" si="82">+J1243*K1243*L1243*M1243</f>
        <v>82012500</v>
      </c>
    </row>
    <row r="1244" spans="1:14" customFormat="1">
      <c r="A1244" s="89"/>
      <c r="B1244" s="320"/>
      <c r="C1244" s="55"/>
      <c r="D1244" s="55"/>
      <c r="E1244" s="55"/>
      <c r="F1244" s="55"/>
      <c r="G1244" s="316" t="s">
        <v>450</v>
      </c>
      <c r="H1244" s="317">
        <v>38</v>
      </c>
      <c r="I1244" s="318">
        <v>3</v>
      </c>
      <c r="J1244" s="318">
        <v>4</v>
      </c>
      <c r="K1244" s="318">
        <v>1</v>
      </c>
      <c r="L1244" s="319">
        <f t="shared" si="81"/>
        <v>456</v>
      </c>
      <c r="M1244" s="318">
        <v>1</v>
      </c>
      <c r="N1244" s="319">
        <f t="shared" si="82"/>
        <v>1824</v>
      </c>
    </row>
    <row r="1245" spans="1:14" customFormat="1">
      <c r="A1245" s="89"/>
      <c r="B1245" s="320"/>
      <c r="C1245" s="55"/>
      <c r="D1245" s="55"/>
      <c r="E1245" s="55"/>
      <c r="F1245" s="55"/>
      <c r="G1245" s="316" t="s">
        <v>451</v>
      </c>
      <c r="H1245" s="317">
        <v>2500</v>
      </c>
      <c r="I1245" s="318">
        <v>3</v>
      </c>
      <c r="J1245" s="318">
        <v>1</v>
      </c>
      <c r="K1245" s="318">
        <v>1</v>
      </c>
      <c r="L1245" s="319">
        <f t="shared" si="81"/>
        <v>7500</v>
      </c>
      <c r="M1245" s="318">
        <v>1</v>
      </c>
      <c r="N1245" s="319">
        <f t="shared" si="82"/>
        <v>7500</v>
      </c>
    </row>
    <row r="1246" spans="1:14" s="138" customFormat="1" ht="38.25">
      <c r="B1246" s="126">
        <v>1158</v>
      </c>
      <c r="C1246" s="127">
        <v>129</v>
      </c>
      <c r="D1246" s="135" t="s">
        <v>341</v>
      </c>
      <c r="E1246" s="136" t="s">
        <v>374</v>
      </c>
      <c r="F1246" s="136"/>
      <c r="G1246" s="131"/>
      <c r="H1246" s="137" t="s">
        <v>671</v>
      </c>
      <c r="I1246" s="131"/>
      <c r="J1246" s="131"/>
      <c r="K1246" s="131"/>
      <c r="L1246" s="193">
        <f>SUM(L1252:L1266)</f>
        <v>4352.2555555555555</v>
      </c>
      <c r="M1246" s="133">
        <v>19612.11</v>
      </c>
      <c r="N1246" s="134">
        <v>19612.123333333329</v>
      </c>
    </row>
    <row r="1247" spans="1:14">
      <c r="B1247" s="106">
        <v>1159</v>
      </c>
      <c r="C1247" s="117">
        <v>129</v>
      </c>
      <c r="D1247" s="55"/>
      <c r="E1247" s="55"/>
      <c r="F1247" s="55"/>
      <c r="G1247" s="119" t="s">
        <v>466</v>
      </c>
      <c r="H1247" s="120">
        <v>0</v>
      </c>
      <c r="I1247" s="119">
        <v>1</v>
      </c>
      <c r="J1247" s="119">
        <v>1</v>
      </c>
      <c r="K1247" s="120">
        <v>1</v>
      </c>
      <c r="L1247" s="164">
        <f>H1247*I1247*J1247*K1247</f>
        <v>0</v>
      </c>
      <c r="M1247" s="111"/>
      <c r="N1247" s="111"/>
    </row>
    <row r="1248" spans="1:14">
      <c r="B1248" s="106">
        <v>1160</v>
      </c>
      <c r="C1248" s="117">
        <v>129</v>
      </c>
      <c r="D1248" s="55"/>
      <c r="E1248" s="55"/>
      <c r="F1248" s="55"/>
      <c r="G1248" s="119" t="s">
        <v>467</v>
      </c>
      <c r="H1248" s="120">
        <v>4352.3</v>
      </c>
      <c r="I1248" s="119">
        <v>1</v>
      </c>
      <c r="J1248" s="119">
        <v>1</v>
      </c>
      <c r="K1248" s="120">
        <v>1</v>
      </c>
      <c r="L1248" s="329">
        <f>L1246</f>
        <v>4352.2555555555555</v>
      </c>
      <c r="M1248" s="111"/>
      <c r="N1248" s="111"/>
    </row>
    <row r="1249" spans="2:14">
      <c r="B1249" s="106">
        <v>1161</v>
      </c>
      <c r="C1249" s="117">
        <v>129</v>
      </c>
      <c r="D1249" s="55"/>
      <c r="E1249" s="55"/>
      <c r="F1249" s="55"/>
      <c r="G1249" s="119" t="s">
        <v>468</v>
      </c>
      <c r="H1249" s="120">
        <v>0</v>
      </c>
      <c r="I1249" s="119">
        <v>1</v>
      </c>
      <c r="J1249" s="119">
        <v>1</v>
      </c>
      <c r="K1249" s="120">
        <v>1</v>
      </c>
      <c r="L1249" s="164">
        <f t="shared" ref="L1249:L1251" si="83">H1249*I1249*J1249*K1249</f>
        <v>0</v>
      </c>
      <c r="M1249" s="111"/>
      <c r="N1249" s="111"/>
    </row>
    <row r="1250" spans="2:14">
      <c r="B1250" s="106">
        <v>1162</v>
      </c>
      <c r="C1250" s="117">
        <v>129</v>
      </c>
      <c r="D1250" s="55"/>
      <c r="E1250" s="55"/>
      <c r="F1250" s="55"/>
      <c r="G1250" s="119" t="s">
        <v>469</v>
      </c>
      <c r="H1250" s="120">
        <v>0</v>
      </c>
      <c r="I1250" s="119">
        <v>1</v>
      </c>
      <c r="J1250" s="119">
        <v>1</v>
      </c>
      <c r="K1250" s="120">
        <v>1</v>
      </c>
      <c r="L1250" s="164">
        <f t="shared" si="83"/>
        <v>0</v>
      </c>
      <c r="M1250" s="111"/>
      <c r="N1250" s="111"/>
    </row>
    <row r="1251" spans="2:14">
      <c r="B1251" s="106">
        <v>1163</v>
      </c>
      <c r="C1251" s="117">
        <v>129</v>
      </c>
      <c r="D1251" s="55"/>
      <c r="E1251" s="55"/>
      <c r="F1251" s="55"/>
      <c r="G1251" s="119" t="s">
        <v>470</v>
      </c>
      <c r="H1251" s="120">
        <v>0</v>
      </c>
      <c r="I1251" s="119">
        <v>1</v>
      </c>
      <c r="J1251" s="119">
        <v>1</v>
      </c>
      <c r="K1251" s="120">
        <v>1</v>
      </c>
      <c r="L1251" s="164">
        <f t="shared" si="83"/>
        <v>0</v>
      </c>
      <c r="M1251" s="111"/>
      <c r="N1251" s="111"/>
    </row>
    <row r="1252" spans="2:14">
      <c r="B1252" s="321"/>
      <c r="C1252" s="322"/>
      <c r="D1252" s="55"/>
      <c r="E1252" s="55"/>
      <c r="F1252" s="55"/>
      <c r="G1252" s="323" t="s">
        <v>453</v>
      </c>
      <c r="H1252" s="324">
        <v>25</v>
      </c>
      <c r="I1252" s="325">
        <v>2</v>
      </c>
      <c r="J1252" s="326">
        <v>1</v>
      </c>
      <c r="K1252" s="327">
        <v>3</v>
      </c>
      <c r="L1252" s="328">
        <f t="shared" ref="L1252:L1266" si="84">+H1252*I1252*J1252*K1252</f>
        <v>150</v>
      </c>
      <c r="M1252" s="111"/>
      <c r="N1252" s="111"/>
    </row>
    <row r="1253" spans="2:14">
      <c r="B1253" s="321"/>
      <c r="C1253" s="322"/>
      <c r="D1253" s="55"/>
      <c r="E1253" s="55"/>
      <c r="F1253" s="55"/>
      <c r="G1253" s="323" t="s">
        <v>462</v>
      </c>
      <c r="H1253" s="324">
        <v>25</v>
      </c>
      <c r="I1253" s="325">
        <v>1</v>
      </c>
      <c r="J1253" s="326">
        <v>1</v>
      </c>
      <c r="K1253" s="327">
        <v>3</v>
      </c>
      <c r="L1253" s="328">
        <f t="shared" si="84"/>
        <v>75</v>
      </c>
      <c r="M1253" s="111"/>
      <c r="N1253" s="111"/>
    </row>
    <row r="1254" spans="2:14">
      <c r="B1254" s="321"/>
      <c r="C1254" s="322"/>
      <c r="D1254" s="55"/>
      <c r="E1254" s="55"/>
      <c r="F1254" s="55"/>
      <c r="G1254" s="323" t="s">
        <v>429</v>
      </c>
      <c r="H1254" s="324">
        <v>4</v>
      </c>
      <c r="I1254" s="325">
        <v>22</v>
      </c>
      <c r="J1254" s="326">
        <v>1</v>
      </c>
      <c r="K1254" s="327">
        <v>3</v>
      </c>
      <c r="L1254" s="328">
        <f t="shared" si="84"/>
        <v>264</v>
      </c>
      <c r="M1254" s="111"/>
      <c r="N1254" s="111"/>
    </row>
    <row r="1255" spans="2:14">
      <c r="B1255" s="321"/>
      <c r="C1255" s="322"/>
      <c r="D1255" s="55"/>
      <c r="E1255" s="55"/>
      <c r="F1255" s="55"/>
      <c r="G1255" s="323" t="s">
        <v>430</v>
      </c>
      <c r="H1255" s="324">
        <v>8</v>
      </c>
      <c r="I1255" s="325">
        <v>22</v>
      </c>
      <c r="J1255" s="326">
        <v>1</v>
      </c>
      <c r="K1255" s="327">
        <v>3</v>
      </c>
      <c r="L1255" s="328">
        <f t="shared" si="84"/>
        <v>528</v>
      </c>
      <c r="M1255" s="111"/>
      <c r="N1255" s="111"/>
    </row>
    <row r="1256" spans="2:14" ht="24">
      <c r="B1256" s="321"/>
      <c r="C1256" s="322"/>
      <c r="D1256" s="55"/>
      <c r="E1256" s="55"/>
      <c r="F1256" s="55"/>
      <c r="G1256" s="323" t="s">
        <v>431</v>
      </c>
      <c r="H1256" s="324">
        <v>10</v>
      </c>
      <c r="I1256" s="325">
        <v>20</v>
      </c>
      <c r="J1256" s="326">
        <v>1</v>
      </c>
      <c r="K1256" s="327">
        <v>3</v>
      </c>
      <c r="L1256" s="328">
        <f t="shared" si="84"/>
        <v>600</v>
      </c>
      <c r="M1256" s="111"/>
      <c r="N1256" s="111"/>
    </row>
    <row r="1257" spans="2:14">
      <c r="B1257" s="321"/>
      <c r="C1257" s="322"/>
      <c r="D1257" s="55"/>
      <c r="E1257" s="55"/>
      <c r="F1257" s="55"/>
      <c r="G1257" s="323" t="s">
        <v>432</v>
      </c>
      <c r="H1257" s="324">
        <v>8</v>
      </c>
      <c r="I1257" s="325">
        <v>1</v>
      </c>
      <c r="J1257" s="326">
        <v>1</v>
      </c>
      <c r="K1257" s="327">
        <v>3</v>
      </c>
      <c r="L1257" s="328">
        <f t="shared" si="84"/>
        <v>24</v>
      </c>
      <c r="M1257" s="111"/>
      <c r="N1257" s="111"/>
    </row>
    <row r="1258" spans="2:14">
      <c r="B1258" s="321"/>
      <c r="C1258" s="322"/>
      <c r="D1258" s="55"/>
      <c r="E1258" s="55"/>
      <c r="F1258" s="55"/>
      <c r="G1258" s="323" t="s">
        <v>463</v>
      </c>
      <c r="H1258" s="324">
        <v>119</v>
      </c>
      <c r="I1258" s="325">
        <v>2</v>
      </c>
      <c r="J1258" s="326">
        <v>1</v>
      </c>
      <c r="K1258" s="327">
        <v>5</v>
      </c>
      <c r="L1258" s="328">
        <f t="shared" si="84"/>
        <v>1190</v>
      </c>
      <c r="M1258" s="111"/>
      <c r="N1258" s="111"/>
    </row>
    <row r="1259" spans="2:14">
      <c r="B1259" s="321"/>
      <c r="C1259" s="322"/>
      <c r="D1259" s="55"/>
      <c r="E1259" s="55"/>
      <c r="F1259" s="55"/>
      <c r="G1259" s="323" t="s">
        <v>434</v>
      </c>
      <c r="H1259" s="324">
        <v>10</v>
      </c>
      <c r="I1259" s="325">
        <v>20</v>
      </c>
      <c r="J1259" s="326">
        <v>1</v>
      </c>
      <c r="K1259" s="327">
        <v>1</v>
      </c>
      <c r="L1259" s="328">
        <f t="shared" si="84"/>
        <v>200</v>
      </c>
      <c r="M1259" s="111"/>
      <c r="N1259" s="111"/>
    </row>
    <row r="1260" spans="2:14">
      <c r="B1260" s="321"/>
      <c r="C1260" s="322"/>
      <c r="D1260" s="55"/>
      <c r="E1260" s="55"/>
      <c r="F1260" s="55"/>
      <c r="G1260" s="323" t="s">
        <v>455</v>
      </c>
      <c r="H1260" s="324">
        <v>260</v>
      </c>
      <c r="I1260" s="325">
        <v>2</v>
      </c>
      <c r="J1260" s="326">
        <v>1</v>
      </c>
      <c r="K1260" s="327">
        <v>1</v>
      </c>
      <c r="L1260" s="328">
        <f t="shared" si="84"/>
        <v>520</v>
      </c>
      <c r="M1260" s="111"/>
      <c r="N1260" s="111"/>
    </row>
    <row r="1261" spans="2:14">
      <c r="B1261" s="321"/>
      <c r="C1261" s="322"/>
      <c r="D1261" s="55"/>
      <c r="E1261" s="55"/>
      <c r="F1261" s="55"/>
      <c r="G1261" s="323" t="s">
        <v>435</v>
      </c>
      <c r="H1261" s="324">
        <v>70</v>
      </c>
      <c r="I1261" s="325">
        <v>1</v>
      </c>
      <c r="J1261" s="326">
        <v>1</v>
      </c>
      <c r="K1261" s="327">
        <v>3</v>
      </c>
      <c r="L1261" s="328">
        <f t="shared" si="84"/>
        <v>210</v>
      </c>
      <c r="M1261" s="111"/>
      <c r="N1261" s="111"/>
    </row>
    <row r="1262" spans="2:14">
      <c r="B1262" s="321"/>
      <c r="C1262" s="322"/>
      <c r="D1262" s="55"/>
      <c r="E1262" s="55"/>
      <c r="F1262" s="55"/>
      <c r="G1262" s="323" t="s">
        <v>443</v>
      </c>
      <c r="H1262" s="324">
        <f>150000/18000</f>
        <v>8.3333333333333339</v>
      </c>
      <c r="I1262" s="325">
        <v>6</v>
      </c>
      <c r="J1262" s="326">
        <v>1</v>
      </c>
      <c r="K1262" s="327">
        <v>1</v>
      </c>
      <c r="L1262" s="328">
        <f t="shared" si="84"/>
        <v>50</v>
      </c>
      <c r="M1262" s="111"/>
      <c r="N1262" s="111"/>
    </row>
    <row r="1263" spans="2:14">
      <c r="B1263" s="321"/>
      <c r="C1263" s="322"/>
      <c r="D1263" s="55"/>
      <c r="E1263" s="55"/>
      <c r="F1263" s="55"/>
      <c r="G1263" s="323" t="s">
        <v>464</v>
      </c>
      <c r="H1263" s="324">
        <f t="shared" ref="H1263" si="85">5500000/18000</f>
        <v>305.55555555555554</v>
      </c>
      <c r="I1263" s="327">
        <v>1</v>
      </c>
      <c r="J1263" s="327">
        <v>1</v>
      </c>
      <c r="K1263" s="327">
        <v>1</v>
      </c>
      <c r="L1263" s="328">
        <f t="shared" si="84"/>
        <v>305.55555555555554</v>
      </c>
      <c r="M1263" s="111"/>
      <c r="N1263" s="111"/>
    </row>
    <row r="1264" spans="2:14">
      <c r="B1264" s="321"/>
      <c r="C1264" s="322"/>
      <c r="D1264" s="55"/>
      <c r="E1264" s="55"/>
      <c r="F1264" s="55"/>
      <c r="G1264" s="323" t="s">
        <v>465</v>
      </c>
      <c r="H1264" s="324">
        <f t="shared" ref="H1264" si="86">3000000/18000</f>
        <v>166.66666666666666</v>
      </c>
      <c r="I1264" s="327">
        <v>1</v>
      </c>
      <c r="J1264" s="327">
        <v>1</v>
      </c>
      <c r="K1264" s="327">
        <v>1</v>
      </c>
      <c r="L1264" s="328">
        <f t="shared" si="84"/>
        <v>166.66666666666666</v>
      </c>
      <c r="M1264" s="111"/>
      <c r="N1264" s="111"/>
    </row>
    <row r="1265" spans="2:14">
      <c r="B1265" s="321"/>
      <c r="C1265" s="322"/>
      <c r="D1265" s="55"/>
      <c r="E1265" s="55"/>
      <c r="F1265" s="55"/>
      <c r="G1265" s="323" t="s">
        <v>447</v>
      </c>
      <c r="H1265" s="324">
        <v>1.19</v>
      </c>
      <c r="I1265" s="327">
        <v>10</v>
      </c>
      <c r="J1265" s="327">
        <v>1</v>
      </c>
      <c r="K1265" s="327">
        <v>3</v>
      </c>
      <c r="L1265" s="328">
        <f t="shared" si="84"/>
        <v>35.699999999999996</v>
      </c>
      <c r="M1265" s="111"/>
      <c r="N1265" s="111"/>
    </row>
    <row r="1266" spans="2:14">
      <c r="B1266" s="321"/>
      <c r="C1266" s="322"/>
      <c r="D1266" s="55"/>
      <c r="E1266" s="55"/>
      <c r="F1266" s="55"/>
      <c r="G1266" s="323" t="s">
        <v>459</v>
      </c>
      <c r="H1266" s="324">
        <f>300000/18000</f>
        <v>16.666666666666668</v>
      </c>
      <c r="I1266" s="327">
        <v>2</v>
      </c>
      <c r="J1266" s="327">
        <v>1</v>
      </c>
      <c r="K1266" s="327">
        <v>1</v>
      </c>
      <c r="L1266" s="328">
        <f t="shared" si="84"/>
        <v>33.333333333333336</v>
      </c>
      <c r="M1266" s="111"/>
      <c r="N1266" s="111"/>
    </row>
    <row r="1267" spans="2:14" s="138" customFormat="1" ht="51">
      <c r="D1267" s="135" t="s">
        <v>342</v>
      </c>
      <c r="E1267" s="136" t="s">
        <v>375</v>
      </c>
      <c r="F1267" s="202">
        <v>1</v>
      </c>
      <c r="G1267" s="203" t="s">
        <v>4</v>
      </c>
      <c r="H1267" s="168"/>
      <c r="I1267" s="168"/>
      <c r="J1267" s="168"/>
      <c r="K1267" s="168"/>
      <c r="L1267" s="193">
        <f>SUM(L1268:L1272)</f>
        <v>3750</v>
      </c>
      <c r="M1267" s="168"/>
      <c r="N1267" s="168"/>
    </row>
    <row r="1268" spans="2:14">
      <c r="B1268" s="106">
        <v>1159</v>
      </c>
      <c r="C1268" s="117">
        <v>129</v>
      </c>
      <c r="D1268" s="55"/>
      <c r="E1268" s="55"/>
      <c r="F1268" s="55"/>
      <c r="G1268" s="119" t="s">
        <v>466</v>
      </c>
      <c r="H1268" s="120">
        <v>750</v>
      </c>
      <c r="I1268" s="119">
        <v>1</v>
      </c>
      <c r="J1268" s="119">
        <v>1</v>
      </c>
      <c r="K1268" s="120">
        <v>1</v>
      </c>
      <c r="L1268" s="164">
        <f>H1268*I1268*J1268*K1268</f>
        <v>750</v>
      </c>
      <c r="M1268" s="111"/>
      <c r="N1268" s="111"/>
    </row>
    <row r="1269" spans="2:14">
      <c r="B1269" s="106">
        <v>1160</v>
      </c>
      <c r="C1269" s="117">
        <v>129</v>
      </c>
      <c r="D1269" s="55"/>
      <c r="E1269" s="55"/>
      <c r="F1269" s="55"/>
      <c r="G1269" s="119" t="s">
        <v>467</v>
      </c>
      <c r="H1269" s="120">
        <v>750</v>
      </c>
      <c r="I1269" s="119">
        <v>1</v>
      </c>
      <c r="J1269" s="119">
        <v>1</v>
      </c>
      <c r="K1269" s="120">
        <v>1</v>
      </c>
      <c r="L1269" s="164">
        <f t="shared" ref="L1269:L1272" si="87">H1269*I1269*J1269*K1269</f>
        <v>750</v>
      </c>
      <c r="M1269" s="111"/>
      <c r="N1269" s="111"/>
    </row>
    <row r="1270" spans="2:14">
      <c r="B1270" s="106">
        <v>1161</v>
      </c>
      <c r="C1270" s="117">
        <v>129</v>
      </c>
      <c r="D1270" s="55"/>
      <c r="E1270" s="55"/>
      <c r="F1270" s="55"/>
      <c r="G1270" s="119" t="s">
        <v>468</v>
      </c>
      <c r="H1270" s="120">
        <v>750</v>
      </c>
      <c r="I1270" s="119">
        <v>1</v>
      </c>
      <c r="J1270" s="119">
        <v>1</v>
      </c>
      <c r="K1270" s="120">
        <v>1</v>
      </c>
      <c r="L1270" s="164">
        <f t="shared" si="87"/>
        <v>750</v>
      </c>
      <c r="M1270" s="111"/>
      <c r="N1270" s="111"/>
    </row>
    <row r="1271" spans="2:14">
      <c r="B1271" s="106">
        <v>1162</v>
      </c>
      <c r="C1271" s="117">
        <v>129</v>
      </c>
      <c r="D1271" s="55"/>
      <c r="E1271" s="55"/>
      <c r="F1271" s="55"/>
      <c r="G1271" s="119" t="s">
        <v>469</v>
      </c>
      <c r="H1271" s="120">
        <v>750</v>
      </c>
      <c r="I1271" s="119">
        <v>1</v>
      </c>
      <c r="J1271" s="119">
        <v>1</v>
      </c>
      <c r="K1271" s="120">
        <v>1</v>
      </c>
      <c r="L1271" s="164">
        <f t="shared" si="87"/>
        <v>750</v>
      </c>
      <c r="M1271" s="111"/>
      <c r="N1271" s="111"/>
    </row>
    <row r="1272" spans="2:14">
      <c r="B1272" s="106">
        <v>1163</v>
      </c>
      <c r="C1272" s="117">
        <v>129</v>
      </c>
      <c r="D1272" s="55"/>
      <c r="E1272" s="55"/>
      <c r="F1272" s="55"/>
      <c r="G1272" s="119" t="s">
        <v>470</v>
      </c>
      <c r="H1272" s="120">
        <v>750</v>
      </c>
      <c r="I1272" s="119">
        <v>1</v>
      </c>
      <c r="J1272" s="119">
        <v>1</v>
      </c>
      <c r="K1272" s="120">
        <v>1</v>
      </c>
      <c r="L1272" s="164">
        <f t="shared" si="87"/>
        <v>750</v>
      </c>
      <c r="M1272" s="111"/>
      <c r="N1272" s="111"/>
    </row>
    <row r="1273" spans="2:14" s="138" customFormat="1" ht="25.5">
      <c r="D1273" s="135" t="s">
        <v>343</v>
      </c>
      <c r="E1273" s="136" t="s">
        <v>376</v>
      </c>
      <c r="F1273" s="202">
        <v>1</v>
      </c>
      <c r="G1273" s="203" t="s">
        <v>4</v>
      </c>
      <c r="H1273" s="168"/>
      <c r="I1273" s="168"/>
      <c r="J1273" s="168"/>
      <c r="K1273" s="168"/>
      <c r="L1273" s="193">
        <f>SUM(L1274:L1278)</f>
        <v>0</v>
      </c>
      <c r="M1273" s="168"/>
      <c r="N1273" s="168"/>
    </row>
    <row r="1274" spans="2:14">
      <c r="B1274" s="106">
        <v>1159</v>
      </c>
      <c r="C1274" s="117">
        <v>129</v>
      </c>
      <c r="D1274" s="55"/>
      <c r="E1274" s="55"/>
      <c r="F1274" s="55"/>
      <c r="G1274" s="119" t="s">
        <v>466</v>
      </c>
      <c r="H1274" s="120">
        <v>0</v>
      </c>
      <c r="I1274" s="119">
        <v>1</v>
      </c>
      <c r="J1274" s="119">
        <v>1</v>
      </c>
      <c r="K1274" s="120">
        <v>1</v>
      </c>
      <c r="L1274" s="164">
        <f>H1274*I1274*J1274*K1274</f>
        <v>0</v>
      </c>
      <c r="M1274" s="111"/>
      <c r="N1274" s="111"/>
    </row>
    <row r="1275" spans="2:14">
      <c r="B1275" s="106">
        <v>1160</v>
      </c>
      <c r="C1275" s="117">
        <v>129</v>
      </c>
      <c r="D1275" s="55"/>
      <c r="E1275" s="55"/>
      <c r="F1275" s="55"/>
      <c r="G1275" s="119" t="s">
        <v>467</v>
      </c>
      <c r="H1275" s="120">
        <v>0</v>
      </c>
      <c r="I1275" s="119">
        <v>1</v>
      </c>
      <c r="J1275" s="119">
        <v>1</v>
      </c>
      <c r="K1275" s="120">
        <v>1</v>
      </c>
      <c r="L1275" s="164">
        <f t="shared" ref="L1275:L1278" si="88">H1275*I1275*J1275*K1275</f>
        <v>0</v>
      </c>
      <c r="M1275" s="111"/>
      <c r="N1275" s="111"/>
    </row>
    <row r="1276" spans="2:14">
      <c r="B1276" s="106">
        <v>1161</v>
      </c>
      <c r="C1276" s="117">
        <v>129</v>
      </c>
      <c r="D1276" s="55"/>
      <c r="E1276" s="55"/>
      <c r="F1276" s="55"/>
      <c r="G1276" s="119" t="s">
        <v>468</v>
      </c>
      <c r="H1276" s="120">
        <v>0</v>
      </c>
      <c r="I1276" s="119">
        <v>1</v>
      </c>
      <c r="J1276" s="119">
        <v>1</v>
      </c>
      <c r="K1276" s="120">
        <v>1</v>
      </c>
      <c r="L1276" s="164">
        <f t="shared" si="88"/>
        <v>0</v>
      </c>
      <c r="M1276" s="111"/>
      <c r="N1276" s="111"/>
    </row>
    <row r="1277" spans="2:14">
      <c r="B1277" s="106">
        <v>1162</v>
      </c>
      <c r="C1277" s="117">
        <v>129</v>
      </c>
      <c r="D1277" s="55"/>
      <c r="E1277" s="55"/>
      <c r="F1277" s="55"/>
      <c r="G1277" s="119" t="s">
        <v>469</v>
      </c>
      <c r="H1277" s="120">
        <v>0</v>
      </c>
      <c r="I1277" s="119">
        <v>1</v>
      </c>
      <c r="J1277" s="119">
        <v>1</v>
      </c>
      <c r="K1277" s="120">
        <v>1</v>
      </c>
      <c r="L1277" s="164">
        <f t="shared" si="88"/>
        <v>0</v>
      </c>
      <c r="M1277" s="111"/>
      <c r="N1277" s="111"/>
    </row>
    <row r="1278" spans="2:14">
      <c r="B1278" s="106">
        <v>1163</v>
      </c>
      <c r="C1278" s="117">
        <v>129</v>
      </c>
      <c r="D1278" s="55"/>
      <c r="E1278" s="55"/>
      <c r="F1278" s="55"/>
      <c r="G1278" s="119" t="s">
        <v>470</v>
      </c>
      <c r="H1278" s="120">
        <v>0</v>
      </c>
      <c r="I1278" s="119">
        <v>1</v>
      </c>
      <c r="J1278" s="119">
        <v>1</v>
      </c>
      <c r="K1278" s="120">
        <v>1</v>
      </c>
      <c r="L1278" s="164">
        <f t="shared" si="88"/>
        <v>0</v>
      </c>
      <c r="M1278" s="111"/>
      <c r="N1278" s="111"/>
    </row>
    <row r="1279" spans="2:14" s="138" customFormat="1" ht="51">
      <c r="D1279" s="135" t="s">
        <v>344</v>
      </c>
      <c r="E1279" s="136" t="s">
        <v>385</v>
      </c>
      <c r="F1279" s="202">
        <v>1</v>
      </c>
      <c r="G1279" s="203" t="s">
        <v>4</v>
      </c>
      <c r="H1279" s="168"/>
      <c r="I1279" s="168"/>
      <c r="J1279" s="168"/>
      <c r="K1279" s="168"/>
      <c r="L1279" s="193">
        <f>SUM(L1280:L1284)</f>
        <v>30518.055555555555</v>
      </c>
      <c r="M1279" s="168"/>
      <c r="N1279" s="168"/>
    </row>
    <row r="1280" spans="2:14">
      <c r="B1280" s="106">
        <v>1159</v>
      </c>
      <c r="C1280" s="117">
        <v>129</v>
      </c>
      <c r="D1280" s="55"/>
      <c r="E1280" s="55"/>
      <c r="F1280" s="55"/>
      <c r="G1280" s="119" t="s">
        <v>466</v>
      </c>
      <c r="H1280" s="120">
        <v>6103.6</v>
      </c>
      <c r="I1280" s="119">
        <v>1</v>
      </c>
      <c r="J1280" s="119">
        <v>1</v>
      </c>
      <c r="K1280" s="120">
        <v>1</v>
      </c>
      <c r="L1280" s="331">
        <f>$L$1285</f>
        <v>6103.6111111111113</v>
      </c>
      <c r="M1280" s="111"/>
      <c r="N1280" s="111"/>
    </row>
    <row r="1281" spans="2:14">
      <c r="B1281" s="106">
        <v>1160</v>
      </c>
      <c r="C1281" s="117">
        <v>129</v>
      </c>
      <c r="D1281" s="55"/>
      <c r="E1281" s="55"/>
      <c r="F1281" s="55"/>
      <c r="G1281" s="119" t="s">
        <v>467</v>
      </c>
      <c r="H1281" s="120">
        <v>6103.6</v>
      </c>
      <c r="I1281" s="119">
        <v>1</v>
      </c>
      <c r="J1281" s="119">
        <v>1</v>
      </c>
      <c r="K1281" s="120">
        <v>1</v>
      </c>
      <c r="L1281" s="331">
        <f t="shared" ref="L1281:L1284" si="89">$L$1285</f>
        <v>6103.6111111111113</v>
      </c>
      <c r="M1281" s="111"/>
      <c r="N1281" s="111"/>
    </row>
    <row r="1282" spans="2:14">
      <c r="B1282" s="106">
        <v>1161</v>
      </c>
      <c r="C1282" s="117">
        <v>129</v>
      </c>
      <c r="D1282" s="55"/>
      <c r="E1282" s="55"/>
      <c r="F1282" s="55"/>
      <c r="G1282" s="119" t="s">
        <v>468</v>
      </c>
      <c r="H1282" s="120">
        <v>6103.6</v>
      </c>
      <c r="I1282" s="119">
        <v>1</v>
      </c>
      <c r="J1282" s="119">
        <v>1</v>
      </c>
      <c r="K1282" s="120">
        <v>1</v>
      </c>
      <c r="L1282" s="331">
        <f t="shared" si="89"/>
        <v>6103.6111111111113</v>
      </c>
      <c r="M1282" s="111"/>
      <c r="N1282" s="111"/>
    </row>
    <row r="1283" spans="2:14">
      <c r="B1283" s="106">
        <v>1162</v>
      </c>
      <c r="C1283" s="117">
        <v>129</v>
      </c>
      <c r="D1283" s="55"/>
      <c r="E1283" s="55"/>
      <c r="F1283" s="55"/>
      <c r="G1283" s="119" t="s">
        <v>469</v>
      </c>
      <c r="H1283" s="120">
        <v>6103.6</v>
      </c>
      <c r="I1283" s="119">
        <v>1</v>
      </c>
      <c r="J1283" s="119">
        <v>1</v>
      </c>
      <c r="K1283" s="120">
        <v>1</v>
      </c>
      <c r="L1283" s="331">
        <f t="shared" si="89"/>
        <v>6103.6111111111113</v>
      </c>
      <c r="M1283" s="111"/>
      <c r="N1283" s="111"/>
    </row>
    <row r="1284" spans="2:14">
      <c r="B1284" s="106">
        <v>1163</v>
      </c>
      <c r="C1284" s="117">
        <v>129</v>
      </c>
      <c r="D1284" s="55"/>
      <c r="E1284" s="55"/>
      <c r="F1284" s="55"/>
      <c r="G1284" s="119" t="s">
        <v>470</v>
      </c>
      <c r="H1284" s="120">
        <v>6103.6</v>
      </c>
      <c r="I1284" s="119">
        <v>1</v>
      </c>
      <c r="J1284" s="119">
        <v>1</v>
      </c>
      <c r="K1284" s="120">
        <v>1</v>
      </c>
      <c r="L1284" s="331">
        <f t="shared" si="89"/>
        <v>6103.6111111111113</v>
      </c>
      <c r="M1284" s="111"/>
      <c r="N1284" s="111"/>
    </row>
    <row r="1285" spans="2:14">
      <c r="B1285" s="321"/>
      <c r="C1285" s="322"/>
      <c r="D1285" s="55"/>
      <c r="E1285" s="55"/>
      <c r="F1285" s="55"/>
      <c r="G1285" s="316" t="s">
        <v>471</v>
      </c>
      <c r="H1285" s="317">
        <f>21500/18000</f>
        <v>1.1944444444444444</v>
      </c>
      <c r="I1285" s="332">
        <f>14*365</f>
        <v>5110</v>
      </c>
      <c r="J1285" s="333">
        <v>1</v>
      </c>
      <c r="K1285" s="333">
        <v>1</v>
      </c>
      <c r="L1285" s="319">
        <f t="shared" ref="L1285" si="90">+H1285*I1285*J1285*K1285</f>
        <v>6103.6111111111113</v>
      </c>
      <c r="M1285" s="111"/>
      <c r="N1285" s="111"/>
    </row>
    <row r="1286" spans="2:14" s="138" customFormat="1" ht="25.5">
      <c r="D1286" s="135" t="s">
        <v>345</v>
      </c>
      <c r="E1286" s="136" t="s">
        <v>377</v>
      </c>
      <c r="F1286" s="202">
        <v>1</v>
      </c>
      <c r="G1286" s="203" t="s">
        <v>4</v>
      </c>
      <c r="H1286" s="168"/>
      <c r="I1286" s="168"/>
      <c r="J1286" s="168"/>
      <c r="K1286" s="168"/>
      <c r="L1286" s="193">
        <f>SUM(L1287:L1291)</f>
        <v>0</v>
      </c>
      <c r="M1286" s="168"/>
      <c r="N1286" s="168"/>
    </row>
    <row r="1287" spans="2:14">
      <c r="B1287" s="106">
        <v>1159</v>
      </c>
      <c r="C1287" s="117">
        <v>129</v>
      </c>
      <c r="D1287" s="55"/>
      <c r="E1287" s="55"/>
      <c r="F1287" s="55"/>
      <c r="G1287" s="119" t="s">
        <v>466</v>
      </c>
      <c r="H1287" s="120">
        <v>0</v>
      </c>
      <c r="I1287" s="119">
        <v>1</v>
      </c>
      <c r="J1287" s="119">
        <v>1</v>
      </c>
      <c r="K1287" s="120">
        <v>1</v>
      </c>
      <c r="L1287" s="164">
        <f>H1287*I1287*J1287*K1287</f>
        <v>0</v>
      </c>
      <c r="M1287" s="111"/>
      <c r="N1287" s="111"/>
    </row>
    <row r="1288" spans="2:14">
      <c r="B1288" s="106">
        <v>1160</v>
      </c>
      <c r="C1288" s="117">
        <v>129</v>
      </c>
      <c r="D1288" s="55"/>
      <c r="E1288" s="55"/>
      <c r="F1288" s="55"/>
      <c r="G1288" s="119" t="s">
        <v>467</v>
      </c>
      <c r="H1288" s="120">
        <v>0</v>
      </c>
      <c r="I1288" s="119">
        <v>1</v>
      </c>
      <c r="J1288" s="119">
        <v>1</v>
      </c>
      <c r="K1288" s="120">
        <v>1</v>
      </c>
      <c r="L1288" s="164">
        <f t="shared" ref="L1288:L1291" si="91">H1288*I1288*J1288*K1288</f>
        <v>0</v>
      </c>
      <c r="M1288" s="111"/>
      <c r="N1288" s="111"/>
    </row>
    <row r="1289" spans="2:14">
      <c r="B1289" s="106">
        <v>1161</v>
      </c>
      <c r="C1289" s="117">
        <v>129</v>
      </c>
      <c r="D1289" s="55"/>
      <c r="E1289" s="55"/>
      <c r="F1289" s="55"/>
      <c r="G1289" s="119" t="s">
        <v>468</v>
      </c>
      <c r="H1289" s="120">
        <v>0</v>
      </c>
      <c r="I1289" s="119">
        <v>1</v>
      </c>
      <c r="J1289" s="119">
        <v>1</v>
      </c>
      <c r="K1289" s="120">
        <v>1</v>
      </c>
      <c r="L1289" s="164">
        <f t="shared" si="91"/>
        <v>0</v>
      </c>
      <c r="M1289" s="111"/>
      <c r="N1289" s="111"/>
    </row>
    <row r="1290" spans="2:14">
      <c r="B1290" s="106">
        <v>1162</v>
      </c>
      <c r="C1290" s="117">
        <v>129</v>
      </c>
      <c r="D1290" s="55"/>
      <c r="E1290" s="55"/>
      <c r="F1290" s="55"/>
      <c r="G1290" s="119" t="s">
        <v>469</v>
      </c>
      <c r="H1290" s="120">
        <v>0</v>
      </c>
      <c r="I1290" s="119">
        <v>1</v>
      </c>
      <c r="J1290" s="119">
        <v>1</v>
      </c>
      <c r="K1290" s="120">
        <v>1</v>
      </c>
      <c r="L1290" s="164">
        <f t="shared" si="91"/>
        <v>0</v>
      </c>
      <c r="M1290" s="111"/>
      <c r="N1290" s="111"/>
    </row>
    <row r="1291" spans="2:14">
      <c r="B1291" s="106">
        <v>1163</v>
      </c>
      <c r="C1291" s="117">
        <v>129</v>
      </c>
      <c r="D1291" s="55"/>
      <c r="E1291" s="55"/>
      <c r="F1291" s="55"/>
      <c r="G1291" s="119" t="s">
        <v>470</v>
      </c>
      <c r="H1291" s="120">
        <v>0</v>
      </c>
      <c r="I1291" s="119">
        <v>1</v>
      </c>
      <c r="J1291" s="119">
        <v>1</v>
      </c>
      <c r="K1291" s="120">
        <v>1</v>
      </c>
      <c r="L1291" s="164">
        <f t="shared" si="91"/>
        <v>0</v>
      </c>
      <c r="M1291" s="111"/>
      <c r="N1291" s="111"/>
    </row>
    <row r="1292" spans="2:14" s="138" customFormat="1" ht="51">
      <c r="D1292" s="135" t="s">
        <v>346</v>
      </c>
      <c r="E1292" s="136" t="s">
        <v>378</v>
      </c>
      <c r="F1292" s="202">
        <v>1</v>
      </c>
      <c r="G1292" s="203" t="s">
        <v>4</v>
      </c>
      <c r="H1292" s="168"/>
      <c r="I1292" s="168"/>
      <c r="J1292" s="168"/>
      <c r="K1292" s="168"/>
      <c r="L1292" s="193">
        <f>SUM(L1293:L1297)</f>
        <v>1338.8888888888891</v>
      </c>
      <c r="M1292" s="168"/>
      <c r="N1292" s="168"/>
    </row>
    <row r="1293" spans="2:14">
      <c r="B1293" s="106">
        <v>1159</v>
      </c>
      <c r="C1293" s="117">
        <v>129</v>
      </c>
      <c r="D1293" s="55"/>
      <c r="E1293" s="55"/>
      <c r="F1293" s="55"/>
      <c r="G1293" s="119" t="s">
        <v>466</v>
      </c>
      <c r="H1293" s="120">
        <v>225</v>
      </c>
      <c r="I1293" s="119">
        <v>1</v>
      </c>
      <c r="J1293" s="119">
        <v>1</v>
      </c>
      <c r="K1293" s="120">
        <v>1</v>
      </c>
      <c r="L1293" s="331">
        <f>L1299</f>
        <v>225</v>
      </c>
      <c r="M1293" s="111"/>
      <c r="N1293" s="111"/>
    </row>
    <row r="1294" spans="2:14">
      <c r="B1294" s="106">
        <v>1160</v>
      </c>
      <c r="C1294" s="117">
        <v>129</v>
      </c>
      <c r="D1294" s="55"/>
      <c r="E1294" s="55"/>
      <c r="F1294" s="55"/>
      <c r="G1294" s="119" t="s">
        <v>467</v>
      </c>
      <c r="H1294" s="120">
        <v>250</v>
      </c>
      <c r="I1294" s="119">
        <v>1</v>
      </c>
      <c r="J1294" s="119">
        <v>1</v>
      </c>
      <c r="K1294" s="120">
        <v>1</v>
      </c>
      <c r="L1294" s="331">
        <f t="shared" ref="L1294:L1297" si="92">L1300</f>
        <v>250</v>
      </c>
      <c r="M1294" s="111"/>
      <c r="N1294" s="111"/>
    </row>
    <row r="1295" spans="2:14">
      <c r="B1295" s="106">
        <v>1161</v>
      </c>
      <c r="C1295" s="117">
        <v>129</v>
      </c>
      <c r="D1295" s="55"/>
      <c r="E1295" s="55"/>
      <c r="F1295" s="55"/>
      <c r="G1295" s="119" t="s">
        <v>468</v>
      </c>
      <c r="H1295" s="120">
        <v>266.7</v>
      </c>
      <c r="I1295" s="119">
        <v>1</v>
      </c>
      <c r="J1295" s="119">
        <v>1</v>
      </c>
      <c r="K1295" s="120">
        <v>1</v>
      </c>
      <c r="L1295" s="331">
        <f t="shared" si="92"/>
        <v>266.66666666666669</v>
      </c>
      <c r="M1295" s="111"/>
      <c r="N1295" s="111"/>
    </row>
    <row r="1296" spans="2:14">
      <c r="B1296" s="106">
        <v>1162</v>
      </c>
      <c r="C1296" s="117">
        <v>129</v>
      </c>
      <c r="D1296" s="55"/>
      <c r="E1296" s="55"/>
      <c r="F1296" s="55"/>
      <c r="G1296" s="119" t="s">
        <v>469</v>
      </c>
      <c r="H1296" s="120">
        <v>277.8</v>
      </c>
      <c r="I1296" s="119">
        <v>1</v>
      </c>
      <c r="J1296" s="119">
        <v>1</v>
      </c>
      <c r="K1296" s="120">
        <v>1</v>
      </c>
      <c r="L1296" s="331">
        <f t="shared" si="92"/>
        <v>277.77777777777777</v>
      </c>
      <c r="M1296" s="111"/>
      <c r="N1296" s="111"/>
    </row>
    <row r="1297" spans="1:14">
      <c r="B1297" s="106">
        <v>1163</v>
      </c>
      <c r="C1297" s="117">
        <v>129</v>
      </c>
      <c r="D1297" s="55"/>
      <c r="E1297" s="55"/>
      <c r="F1297" s="55"/>
      <c r="G1297" s="119" t="s">
        <v>470</v>
      </c>
      <c r="H1297" s="120">
        <v>319.39999999999998</v>
      </c>
      <c r="I1297" s="119">
        <v>1</v>
      </c>
      <c r="J1297" s="119">
        <v>1</v>
      </c>
      <c r="K1297" s="120">
        <v>1</v>
      </c>
      <c r="L1297" s="331">
        <f t="shared" si="92"/>
        <v>319.44444444444446</v>
      </c>
      <c r="M1297" s="111"/>
      <c r="N1297" s="111"/>
    </row>
    <row r="1298" spans="1:14" ht="24">
      <c r="B1298" s="321"/>
      <c r="C1298" s="322"/>
      <c r="D1298" s="55"/>
      <c r="E1298" s="55"/>
      <c r="F1298" s="55"/>
      <c r="G1298" s="316" t="s">
        <v>1098</v>
      </c>
      <c r="H1298" s="317"/>
      <c r="I1298" s="334"/>
      <c r="J1298" s="333"/>
      <c r="K1298" s="333"/>
      <c r="L1298" s="319"/>
      <c r="M1298" s="111"/>
      <c r="N1298" s="111"/>
    </row>
    <row r="1299" spans="1:14">
      <c r="B1299" s="321"/>
      <c r="C1299" s="322"/>
      <c r="D1299" s="55"/>
      <c r="E1299" s="55"/>
      <c r="F1299" s="55"/>
      <c r="G1299" s="335">
        <v>2013</v>
      </c>
      <c r="H1299" s="317">
        <f>(10000/18000)*5</f>
        <v>2.7777777777777777</v>
      </c>
      <c r="I1299" s="336">
        <v>11</v>
      </c>
      <c r="J1299" s="333">
        <v>1</v>
      </c>
      <c r="K1299" s="333">
        <v>1</v>
      </c>
      <c r="L1299" s="319">
        <f>+(H1299*I1299*J1299*K1299)+(3500000/18000)</f>
        <v>225</v>
      </c>
      <c r="M1299" s="111"/>
      <c r="N1299" s="111"/>
    </row>
    <row r="1300" spans="1:14">
      <c r="B1300" s="321"/>
      <c r="C1300" s="322"/>
      <c r="D1300" s="55"/>
      <c r="E1300" s="55"/>
      <c r="F1300" s="55"/>
      <c r="G1300" s="335">
        <v>2014</v>
      </c>
      <c r="H1300" s="317">
        <f t="shared" ref="H1300:H1303" si="93">(10000/18000)*5</f>
        <v>2.7777777777777777</v>
      </c>
      <c r="I1300" s="332">
        <v>20</v>
      </c>
      <c r="J1300" s="333">
        <v>1</v>
      </c>
      <c r="K1300" s="333">
        <v>1</v>
      </c>
      <c r="L1300" s="319">
        <f t="shared" ref="L1300:L1303" si="94">+(H1300*I1300*J1300*K1300)+(3500000/18000)</f>
        <v>250</v>
      </c>
      <c r="M1300" s="111"/>
      <c r="N1300" s="111"/>
    </row>
    <row r="1301" spans="1:14">
      <c r="B1301" s="321"/>
      <c r="C1301" s="322"/>
      <c r="D1301" s="55"/>
      <c r="E1301" s="55"/>
      <c r="F1301" s="55"/>
      <c r="G1301" s="335">
        <v>2015</v>
      </c>
      <c r="H1301" s="317">
        <f t="shared" si="93"/>
        <v>2.7777777777777777</v>
      </c>
      <c r="I1301" s="332">
        <v>26</v>
      </c>
      <c r="J1301" s="333">
        <v>1</v>
      </c>
      <c r="K1301" s="333">
        <v>1</v>
      </c>
      <c r="L1301" s="319">
        <f t="shared" si="94"/>
        <v>266.66666666666669</v>
      </c>
      <c r="M1301" s="111"/>
      <c r="N1301" s="111"/>
    </row>
    <row r="1302" spans="1:14">
      <c r="B1302" s="321"/>
      <c r="C1302" s="322"/>
      <c r="D1302" s="55"/>
      <c r="E1302" s="55"/>
      <c r="F1302" s="55"/>
      <c r="G1302" s="335">
        <v>2016</v>
      </c>
      <c r="H1302" s="317">
        <f t="shared" si="93"/>
        <v>2.7777777777777777</v>
      </c>
      <c r="I1302" s="332">
        <v>30</v>
      </c>
      <c r="J1302" s="333">
        <v>1</v>
      </c>
      <c r="K1302" s="333">
        <v>1</v>
      </c>
      <c r="L1302" s="319">
        <f t="shared" si="94"/>
        <v>277.77777777777777</v>
      </c>
      <c r="M1302" s="111"/>
      <c r="N1302" s="111"/>
    </row>
    <row r="1303" spans="1:14">
      <c r="B1303" s="321"/>
      <c r="C1303" s="322"/>
      <c r="D1303" s="55"/>
      <c r="E1303" s="55"/>
      <c r="F1303" s="55"/>
      <c r="G1303" s="335">
        <v>2017</v>
      </c>
      <c r="H1303" s="317">
        <f t="shared" si="93"/>
        <v>2.7777777777777777</v>
      </c>
      <c r="I1303" s="332">
        <v>45</v>
      </c>
      <c r="J1303" s="333">
        <v>1</v>
      </c>
      <c r="K1303" s="333">
        <v>1</v>
      </c>
      <c r="L1303" s="319">
        <f t="shared" si="94"/>
        <v>319.44444444444446</v>
      </c>
      <c r="M1303" s="111"/>
      <c r="N1303" s="111"/>
    </row>
    <row r="1304" spans="1:14" s="138" customFormat="1" ht="38.25">
      <c r="D1304" s="135" t="s">
        <v>347</v>
      </c>
      <c r="E1304" s="136" t="s">
        <v>379</v>
      </c>
      <c r="F1304" s="202">
        <v>1</v>
      </c>
      <c r="G1304" s="203" t="s">
        <v>4</v>
      </c>
      <c r="H1304" s="168"/>
      <c r="I1304" s="168"/>
      <c r="J1304" s="168"/>
      <c r="K1304" s="168"/>
      <c r="L1304" s="193">
        <f>SUM(L1305:L1309)</f>
        <v>23040</v>
      </c>
      <c r="M1304" s="168"/>
      <c r="N1304" s="168"/>
    </row>
    <row r="1305" spans="1:14">
      <c r="B1305" s="106">
        <v>1159</v>
      </c>
      <c r="C1305" s="117">
        <v>129</v>
      </c>
      <c r="D1305" s="55"/>
      <c r="E1305" s="55"/>
      <c r="F1305" s="55"/>
      <c r="G1305" s="119" t="s">
        <v>466</v>
      </c>
      <c r="H1305" s="120">
        <v>4608</v>
      </c>
      <c r="I1305" s="119">
        <v>1</v>
      </c>
      <c r="J1305" s="119">
        <v>1</v>
      </c>
      <c r="K1305" s="120">
        <v>1</v>
      </c>
      <c r="L1305" s="330">
        <f>$L$1310</f>
        <v>4608</v>
      </c>
      <c r="M1305" s="111"/>
      <c r="N1305" s="111"/>
    </row>
    <row r="1306" spans="1:14">
      <c r="B1306" s="106">
        <v>1160</v>
      </c>
      <c r="C1306" s="117">
        <v>129</v>
      </c>
      <c r="D1306" s="55"/>
      <c r="E1306" s="55"/>
      <c r="F1306" s="55"/>
      <c r="G1306" s="119" t="s">
        <v>467</v>
      </c>
      <c r="H1306" s="120">
        <v>4608</v>
      </c>
      <c r="I1306" s="119">
        <v>1</v>
      </c>
      <c r="J1306" s="119">
        <v>1</v>
      </c>
      <c r="K1306" s="120">
        <v>1</v>
      </c>
      <c r="L1306" s="330">
        <f t="shared" ref="L1306:L1309" si="95">$L$1310</f>
        <v>4608</v>
      </c>
      <c r="M1306" s="111"/>
      <c r="N1306" s="111"/>
    </row>
    <row r="1307" spans="1:14">
      <c r="B1307" s="106">
        <v>1161</v>
      </c>
      <c r="C1307" s="117">
        <v>129</v>
      </c>
      <c r="D1307" s="55"/>
      <c r="E1307" s="55"/>
      <c r="F1307" s="55"/>
      <c r="G1307" s="119" t="s">
        <v>468</v>
      </c>
      <c r="H1307" s="120">
        <v>4608</v>
      </c>
      <c r="I1307" s="119">
        <v>1</v>
      </c>
      <c r="J1307" s="119">
        <v>1</v>
      </c>
      <c r="K1307" s="120">
        <v>1</v>
      </c>
      <c r="L1307" s="330">
        <f t="shared" si="95"/>
        <v>4608</v>
      </c>
      <c r="M1307" s="111"/>
      <c r="N1307" s="111"/>
    </row>
    <row r="1308" spans="1:14">
      <c r="B1308" s="106">
        <v>1162</v>
      </c>
      <c r="C1308" s="117">
        <v>129</v>
      </c>
      <c r="D1308" s="55"/>
      <c r="E1308" s="55"/>
      <c r="F1308" s="55"/>
      <c r="G1308" s="119" t="s">
        <v>469</v>
      </c>
      <c r="H1308" s="120">
        <v>4608</v>
      </c>
      <c r="I1308" s="119">
        <v>1</v>
      </c>
      <c r="J1308" s="119">
        <v>1</v>
      </c>
      <c r="K1308" s="120">
        <v>1</v>
      </c>
      <c r="L1308" s="330">
        <f t="shared" si="95"/>
        <v>4608</v>
      </c>
      <c r="M1308" s="111"/>
      <c r="N1308" s="111"/>
    </row>
    <row r="1309" spans="1:14">
      <c r="B1309" s="106">
        <v>1163</v>
      </c>
      <c r="C1309" s="117">
        <v>129</v>
      </c>
      <c r="D1309" s="55"/>
      <c r="E1309" s="55"/>
      <c r="F1309" s="55"/>
      <c r="G1309" s="119" t="s">
        <v>470</v>
      </c>
      <c r="H1309" s="120">
        <v>4608</v>
      </c>
      <c r="I1309" s="119">
        <v>1</v>
      </c>
      <c r="J1309" s="119">
        <v>1</v>
      </c>
      <c r="K1309" s="120">
        <v>1</v>
      </c>
      <c r="L1309" s="330">
        <f t="shared" si="95"/>
        <v>4608</v>
      </c>
      <c r="M1309" s="111"/>
      <c r="N1309" s="111"/>
    </row>
    <row r="1310" spans="1:14" customFormat="1" ht="24">
      <c r="A1310" s="89"/>
      <c r="B1310" s="320"/>
      <c r="C1310" s="55"/>
      <c r="D1310" s="55"/>
      <c r="E1310" s="55"/>
      <c r="F1310" s="55"/>
      <c r="G1310" s="316" t="s">
        <v>1099</v>
      </c>
      <c r="H1310" s="317">
        <v>4608</v>
      </c>
      <c r="I1310" s="336">
        <v>1</v>
      </c>
      <c r="J1310" s="337">
        <v>1</v>
      </c>
      <c r="K1310" s="337">
        <v>1</v>
      </c>
      <c r="L1310" s="338">
        <f t="shared" ref="L1310" si="96">+H1310*I1310*J1310*K1310</f>
        <v>4608</v>
      </c>
      <c r="M1310" s="2"/>
      <c r="N1310" s="2"/>
    </row>
    <row r="1311" spans="1:14" s="138" customFormat="1" ht="63.75">
      <c r="B1311" s="168"/>
      <c r="C1311" s="168"/>
      <c r="D1311" s="135" t="s">
        <v>348</v>
      </c>
      <c r="E1311" s="136" t="s">
        <v>384</v>
      </c>
      <c r="F1311" s="202">
        <v>1</v>
      </c>
      <c r="G1311" s="203" t="s">
        <v>4</v>
      </c>
      <c r="H1311" s="168"/>
      <c r="I1311" s="168"/>
      <c r="J1311" s="168"/>
      <c r="K1311" s="168"/>
      <c r="L1311" s="193">
        <f>SUM(L1312:L1316)</f>
        <v>13738.7</v>
      </c>
      <c r="M1311" s="168"/>
      <c r="N1311" s="168"/>
    </row>
    <row r="1312" spans="1:14">
      <c r="B1312" s="106">
        <v>1159</v>
      </c>
      <c r="C1312" s="117">
        <v>129</v>
      </c>
      <c r="D1312" s="55"/>
      <c r="E1312" s="55"/>
      <c r="F1312" s="55"/>
      <c r="G1312" s="119" t="s">
        <v>466</v>
      </c>
      <c r="H1312" s="120">
        <v>2796.6</v>
      </c>
      <c r="I1312" s="119">
        <v>1</v>
      </c>
      <c r="J1312" s="119">
        <v>1</v>
      </c>
      <c r="K1312" s="120">
        <v>1</v>
      </c>
      <c r="L1312" s="164">
        <f>H1312*I1312*J1312*K1312</f>
        <v>2796.6</v>
      </c>
      <c r="M1312" s="111"/>
      <c r="N1312" s="111"/>
    </row>
    <row r="1313" spans="2:14">
      <c r="B1313" s="106">
        <v>1160</v>
      </c>
      <c r="C1313" s="117">
        <v>129</v>
      </c>
      <c r="D1313" s="55"/>
      <c r="E1313" s="55"/>
      <c r="F1313" s="55"/>
      <c r="G1313" s="119" t="s">
        <v>467</v>
      </c>
      <c r="H1313" s="120">
        <v>2720.6</v>
      </c>
      <c r="I1313" s="119">
        <v>1</v>
      </c>
      <c r="J1313" s="119">
        <v>1</v>
      </c>
      <c r="K1313" s="120">
        <v>1</v>
      </c>
      <c r="L1313" s="164">
        <f t="shared" ref="L1313:L1316" si="97">H1313*I1313*J1313*K1313</f>
        <v>2720.6</v>
      </c>
      <c r="M1313" s="111"/>
      <c r="N1313" s="111"/>
    </row>
    <row r="1314" spans="2:14">
      <c r="B1314" s="106">
        <v>1161</v>
      </c>
      <c r="C1314" s="117">
        <v>129</v>
      </c>
      <c r="D1314" s="55"/>
      <c r="E1314" s="55"/>
      <c r="F1314" s="55"/>
      <c r="G1314" s="119" t="s">
        <v>468</v>
      </c>
      <c r="H1314" s="120">
        <v>2720.6</v>
      </c>
      <c r="I1314" s="119">
        <v>1</v>
      </c>
      <c r="J1314" s="119">
        <v>1</v>
      </c>
      <c r="K1314" s="120">
        <v>1</v>
      </c>
      <c r="L1314" s="164">
        <f t="shared" si="97"/>
        <v>2720.6</v>
      </c>
      <c r="M1314" s="111"/>
      <c r="N1314" s="111"/>
    </row>
    <row r="1315" spans="2:14">
      <c r="B1315" s="106">
        <v>1162</v>
      </c>
      <c r="C1315" s="117">
        <v>129</v>
      </c>
      <c r="D1315" s="55"/>
      <c r="E1315" s="55"/>
      <c r="F1315" s="55"/>
      <c r="G1315" s="119" t="s">
        <v>469</v>
      </c>
      <c r="H1315" s="120">
        <v>2720.6</v>
      </c>
      <c r="I1315" s="119">
        <v>1</v>
      </c>
      <c r="J1315" s="119">
        <v>1</v>
      </c>
      <c r="K1315" s="120">
        <v>1</v>
      </c>
      <c r="L1315" s="164">
        <f t="shared" si="97"/>
        <v>2720.6</v>
      </c>
      <c r="M1315" s="111"/>
      <c r="N1315" s="111"/>
    </row>
    <row r="1316" spans="2:14">
      <c r="B1316" s="106">
        <v>1163</v>
      </c>
      <c r="C1316" s="117">
        <v>129</v>
      </c>
      <c r="D1316" s="55"/>
      <c r="E1316" s="55"/>
      <c r="F1316" s="55"/>
      <c r="G1316" s="119" t="s">
        <v>470</v>
      </c>
      <c r="H1316" s="120">
        <v>2780.3</v>
      </c>
      <c r="I1316" s="119">
        <v>1</v>
      </c>
      <c r="J1316" s="119">
        <v>1</v>
      </c>
      <c r="K1316" s="120">
        <v>1</v>
      </c>
      <c r="L1316" s="164">
        <f t="shared" si="97"/>
        <v>2780.3</v>
      </c>
      <c r="M1316" s="111"/>
      <c r="N1316" s="111"/>
    </row>
    <row r="1317" spans="2:14" s="138" customFormat="1" ht="38.25">
      <c r="D1317" s="135" t="s">
        <v>349</v>
      </c>
      <c r="E1317" s="136" t="s">
        <v>380</v>
      </c>
      <c r="F1317" s="202">
        <v>1</v>
      </c>
      <c r="G1317" s="203" t="s">
        <v>4</v>
      </c>
      <c r="H1317" s="168"/>
      <c r="I1317" s="168"/>
      <c r="J1317" s="168"/>
      <c r="K1317" s="168"/>
      <c r="L1317" s="193">
        <f>SUM(L1318:L1322)</f>
        <v>27923.5</v>
      </c>
      <c r="M1317" s="168"/>
      <c r="N1317" s="168"/>
    </row>
    <row r="1318" spans="2:14">
      <c r="B1318" s="106">
        <v>1159</v>
      </c>
      <c r="C1318" s="117">
        <v>129</v>
      </c>
      <c r="D1318" s="55"/>
      <c r="E1318" s="55"/>
      <c r="F1318" s="55"/>
      <c r="G1318" s="119" t="s">
        <v>466</v>
      </c>
      <c r="H1318" s="120">
        <v>5584.7</v>
      </c>
      <c r="I1318" s="119">
        <v>1</v>
      </c>
      <c r="J1318" s="119">
        <v>1</v>
      </c>
      <c r="K1318" s="120">
        <v>1</v>
      </c>
      <c r="L1318" s="164">
        <f>H1318*I1318*J1318*K1318</f>
        <v>5584.7</v>
      </c>
      <c r="M1318" s="111"/>
      <c r="N1318" s="111"/>
    </row>
    <row r="1319" spans="2:14">
      <c r="B1319" s="106">
        <v>1160</v>
      </c>
      <c r="C1319" s="117">
        <v>129</v>
      </c>
      <c r="D1319" s="55"/>
      <c r="E1319" s="55"/>
      <c r="F1319" s="55"/>
      <c r="G1319" s="119" t="s">
        <v>467</v>
      </c>
      <c r="H1319" s="120">
        <v>5584.7</v>
      </c>
      <c r="I1319" s="119">
        <v>1</v>
      </c>
      <c r="J1319" s="119">
        <v>1</v>
      </c>
      <c r="K1319" s="120">
        <v>1</v>
      </c>
      <c r="L1319" s="164">
        <f t="shared" ref="L1319:L1322" si="98">H1319*I1319*J1319*K1319</f>
        <v>5584.7</v>
      </c>
      <c r="M1319" s="111"/>
      <c r="N1319" s="111"/>
    </row>
    <row r="1320" spans="2:14">
      <c r="B1320" s="106">
        <v>1161</v>
      </c>
      <c r="C1320" s="117">
        <v>129</v>
      </c>
      <c r="D1320" s="55"/>
      <c r="E1320" s="55"/>
      <c r="F1320" s="55"/>
      <c r="G1320" s="119" t="s">
        <v>468</v>
      </c>
      <c r="H1320" s="120">
        <v>5584.7</v>
      </c>
      <c r="I1320" s="119">
        <v>1</v>
      </c>
      <c r="J1320" s="119">
        <v>1</v>
      </c>
      <c r="K1320" s="120">
        <v>1</v>
      </c>
      <c r="L1320" s="164">
        <f t="shared" si="98"/>
        <v>5584.7</v>
      </c>
      <c r="M1320" s="111"/>
      <c r="N1320" s="111"/>
    </row>
    <row r="1321" spans="2:14">
      <c r="B1321" s="106">
        <v>1162</v>
      </c>
      <c r="C1321" s="117">
        <v>129</v>
      </c>
      <c r="D1321" s="55"/>
      <c r="E1321" s="55"/>
      <c r="F1321" s="55"/>
      <c r="G1321" s="119" t="s">
        <v>469</v>
      </c>
      <c r="H1321" s="120">
        <v>5584.7</v>
      </c>
      <c r="I1321" s="119">
        <v>1</v>
      </c>
      <c r="J1321" s="119">
        <v>1</v>
      </c>
      <c r="K1321" s="120">
        <v>1</v>
      </c>
      <c r="L1321" s="164">
        <f t="shared" si="98"/>
        <v>5584.7</v>
      </c>
      <c r="M1321" s="111"/>
      <c r="N1321" s="111"/>
    </row>
    <row r="1322" spans="2:14">
      <c r="B1322" s="106">
        <v>1163</v>
      </c>
      <c r="C1322" s="117">
        <v>129</v>
      </c>
      <c r="D1322" s="55"/>
      <c r="E1322" s="55"/>
      <c r="F1322" s="55"/>
      <c r="G1322" s="119" t="s">
        <v>470</v>
      </c>
      <c r="H1322" s="120">
        <v>5584.7</v>
      </c>
      <c r="I1322" s="119">
        <v>1</v>
      </c>
      <c r="J1322" s="119">
        <v>1</v>
      </c>
      <c r="K1322" s="120">
        <v>1</v>
      </c>
      <c r="L1322" s="164">
        <f t="shared" si="98"/>
        <v>5584.7</v>
      </c>
      <c r="M1322" s="111"/>
      <c r="N1322" s="111"/>
    </row>
    <row r="1323" spans="2:14" s="138" customFormat="1" ht="38.25">
      <c r="D1323" s="135" t="s">
        <v>350</v>
      </c>
      <c r="E1323" s="136" t="s">
        <v>885</v>
      </c>
      <c r="F1323" s="202">
        <v>1</v>
      </c>
      <c r="G1323" s="203" t="s">
        <v>4</v>
      </c>
      <c r="H1323" s="168"/>
      <c r="I1323" s="168"/>
      <c r="J1323" s="168"/>
      <c r="K1323" s="168"/>
      <c r="L1323" s="193">
        <f>SUM(L1324:L1328)</f>
        <v>4048.3</v>
      </c>
      <c r="M1323" s="168"/>
      <c r="N1323" s="168"/>
    </row>
    <row r="1324" spans="2:14">
      <c r="B1324" s="106">
        <v>1159</v>
      </c>
      <c r="C1324" s="117">
        <v>129</v>
      </c>
      <c r="D1324" s="55"/>
      <c r="E1324" s="55"/>
      <c r="F1324" s="55"/>
      <c r="G1324" s="119" t="s">
        <v>466</v>
      </c>
      <c r="H1324" s="120">
        <v>4048.3</v>
      </c>
      <c r="I1324" s="119">
        <v>1</v>
      </c>
      <c r="J1324" s="119">
        <v>1</v>
      </c>
      <c r="K1324" s="120">
        <v>1</v>
      </c>
      <c r="L1324" s="164">
        <f>H1324*I1324*J1324*K1324</f>
        <v>4048.3</v>
      </c>
      <c r="M1324" s="111"/>
      <c r="N1324" s="111"/>
    </row>
    <row r="1325" spans="2:14">
      <c r="B1325" s="106">
        <v>1160</v>
      </c>
      <c r="C1325" s="117">
        <v>129</v>
      </c>
      <c r="D1325" s="55"/>
      <c r="E1325" s="55"/>
      <c r="F1325" s="55"/>
      <c r="G1325" s="119" t="s">
        <v>467</v>
      </c>
      <c r="H1325" s="120"/>
      <c r="I1325" s="119">
        <v>1</v>
      </c>
      <c r="J1325" s="119">
        <v>1</v>
      </c>
      <c r="K1325" s="120">
        <v>1</v>
      </c>
      <c r="L1325" s="164">
        <f t="shared" ref="L1325:L1328" si="99">H1325*I1325*J1325*K1325</f>
        <v>0</v>
      </c>
      <c r="M1325" s="111"/>
      <c r="N1325" s="111"/>
    </row>
    <row r="1326" spans="2:14">
      <c r="B1326" s="106">
        <v>1161</v>
      </c>
      <c r="C1326" s="117">
        <v>129</v>
      </c>
      <c r="D1326" s="55"/>
      <c r="E1326" s="55"/>
      <c r="F1326" s="55"/>
      <c r="G1326" s="119" t="s">
        <v>468</v>
      </c>
      <c r="H1326" s="120"/>
      <c r="I1326" s="119">
        <v>1</v>
      </c>
      <c r="J1326" s="119">
        <v>1</v>
      </c>
      <c r="K1326" s="120">
        <v>1</v>
      </c>
      <c r="L1326" s="164">
        <f t="shared" si="99"/>
        <v>0</v>
      </c>
      <c r="M1326" s="111"/>
      <c r="N1326" s="111"/>
    </row>
    <row r="1327" spans="2:14">
      <c r="B1327" s="106">
        <v>1162</v>
      </c>
      <c r="C1327" s="117">
        <v>129</v>
      </c>
      <c r="D1327" s="55"/>
      <c r="E1327" s="55"/>
      <c r="F1327" s="55"/>
      <c r="G1327" s="119" t="s">
        <v>469</v>
      </c>
      <c r="H1327" s="120"/>
      <c r="I1327" s="119">
        <v>1</v>
      </c>
      <c r="J1327" s="119">
        <v>1</v>
      </c>
      <c r="K1327" s="120">
        <v>1</v>
      </c>
      <c r="L1327" s="164">
        <f t="shared" si="99"/>
        <v>0</v>
      </c>
      <c r="M1327" s="111"/>
      <c r="N1327" s="111"/>
    </row>
    <row r="1328" spans="2:14">
      <c r="B1328" s="106">
        <v>1163</v>
      </c>
      <c r="C1328" s="117">
        <v>129</v>
      </c>
      <c r="D1328" s="55"/>
      <c r="E1328" s="55"/>
      <c r="F1328" s="55"/>
      <c r="G1328" s="119" t="s">
        <v>470</v>
      </c>
      <c r="H1328" s="120"/>
      <c r="I1328" s="119">
        <v>1</v>
      </c>
      <c r="J1328" s="119">
        <v>1</v>
      </c>
      <c r="K1328" s="120">
        <v>1</v>
      </c>
      <c r="L1328" s="164">
        <f t="shared" si="99"/>
        <v>0</v>
      </c>
      <c r="M1328" s="111"/>
      <c r="N1328" s="111"/>
    </row>
    <row r="1329" spans="1:14" s="138" customFormat="1" ht="51">
      <c r="D1329" s="135" t="s">
        <v>351</v>
      </c>
      <c r="E1329" s="136" t="s">
        <v>382</v>
      </c>
      <c r="F1329" s="202">
        <v>2</v>
      </c>
      <c r="G1329" s="203" t="s">
        <v>4</v>
      </c>
      <c r="H1329" s="168"/>
      <c r="I1329" s="168"/>
      <c r="J1329" s="168"/>
      <c r="K1329" s="168"/>
      <c r="L1329" s="193">
        <f>SUM(L1335:L1349)</f>
        <v>6686.0555555555557</v>
      </c>
      <c r="M1329" s="168"/>
      <c r="N1329" s="168"/>
    </row>
    <row r="1330" spans="1:14">
      <c r="B1330" s="106">
        <v>1159</v>
      </c>
      <c r="C1330" s="117">
        <v>129</v>
      </c>
      <c r="D1330" s="55"/>
      <c r="E1330" s="55"/>
      <c r="F1330" s="55"/>
      <c r="G1330" s="119" t="s">
        <v>466</v>
      </c>
      <c r="H1330" s="120"/>
      <c r="I1330" s="119"/>
      <c r="J1330" s="119"/>
      <c r="K1330" s="120"/>
      <c r="L1330" s="329">
        <f>L1329</f>
        <v>6686.0555555555557</v>
      </c>
      <c r="M1330" s="111"/>
      <c r="N1330" s="111"/>
    </row>
    <row r="1331" spans="1:14">
      <c r="B1331" s="106">
        <v>1160</v>
      </c>
      <c r="C1331" s="117">
        <v>129</v>
      </c>
      <c r="D1331" s="55"/>
      <c r="E1331" s="55"/>
      <c r="F1331" s="55"/>
      <c r="G1331" s="119" t="s">
        <v>467</v>
      </c>
      <c r="H1331" s="120"/>
      <c r="I1331" s="119"/>
      <c r="J1331" s="119"/>
      <c r="K1331" s="120"/>
      <c r="L1331" s="329">
        <f>L1329</f>
        <v>6686.0555555555557</v>
      </c>
      <c r="M1331" s="111"/>
      <c r="N1331" s="111"/>
    </row>
    <row r="1332" spans="1:14">
      <c r="B1332" s="106">
        <v>1161</v>
      </c>
      <c r="C1332" s="117">
        <v>129</v>
      </c>
      <c r="D1332" s="55"/>
      <c r="E1332" s="55"/>
      <c r="F1332" s="55"/>
      <c r="G1332" s="119" t="s">
        <v>468</v>
      </c>
      <c r="H1332" s="120"/>
      <c r="I1332" s="119"/>
      <c r="J1332" s="119"/>
      <c r="K1332" s="120"/>
      <c r="L1332" s="164"/>
      <c r="M1332" s="111"/>
      <c r="N1332" s="111"/>
    </row>
    <row r="1333" spans="1:14">
      <c r="B1333" s="106">
        <v>1162</v>
      </c>
      <c r="C1333" s="117">
        <v>129</v>
      </c>
      <c r="D1333" s="55"/>
      <c r="E1333" s="55"/>
      <c r="F1333" s="55"/>
      <c r="G1333" s="119" t="s">
        <v>469</v>
      </c>
      <c r="H1333" s="120"/>
      <c r="I1333" s="119"/>
      <c r="J1333" s="119"/>
      <c r="K1333" s="120"/>
      <c r="L1333" s="164"/>
      <c r="M1333" s="111"/>
      <c r="N1333" s="111"/>
    </row>
    <row r="1334" spans="1:14">
      <c r="B1334" s="106">
        <v>1163</v>
      </c>
      <c r="C1334" s="117">
        <v>129</v>
      </c>
      <c r="D1334" s="55"/>
      <c r="E1334" s="55"/>
      <c r="F1334" s="55"/>
      <c r="G1334" s="119" t="s">
        <v>470</v>
      </c>
      <c r="H1334" s="120"/>
      <c r="I1334" s="119"/>
      <c r="J1334" s="119"/>
      <c r="K1334" s="120"/>
      <c r="L1334" s="164"/>
      <c r="M1334" s="111"/>
      <c r="N1334" s="111"/>
    </row>
    <row r="1335" spans="1:14" customFormat="1">
      <c r="A1335" s="89"/>
      <c r="B1335" s="320"/>
      <c r="C1335" s="55"/>
      <c r="D1335" s="55"/>
      <c r="E1335" s="55"/>
      <c r="F1335" s="55"/>
      <c r="G1335" s="316" t="s">
        <v>453</v>
      </c>
      <c r="H1335" s="317">
        <v>25</v>
      </c>
      <c r="I1335" s="332">
        <v>2</v>
      </c>
      <c r="J1335" s="333">
        <v>1</v>
      </c>
      <c r="K1335" s="318">
        <v>5</v>
      </c>
      <c r="L1335" s="319">
        <f t="shared" ref="L1335:L1349" si="100">+H1335*I1335*J1335*K1335</f>
        <v>250</v>
      </c>
    </row>
    <row r="1336" spans="1:14" customFormat="1">
      <c r="A1336" s="89"/>
      <c r="B1336" s="320"/>
      <c r="C1336" s="55"/>
      <c r="D1336" s="55"/>
      <c r="E1336" s="55"/>
      <c r="F1336" s="55"/>
      <c r="G1336" s="316" t="s">
        <v>462</v>
      </c>
      <c r="H1336" s="317">
        <v>25</v>
      </c>
      <c r="I1336" s="332">
        <v>1</v>
      </c>
      <c r="J1336" s="333">
        <v>1</v>
      </c>
      <c r="K1336" s="318">
        <v>5</v>
      </c>
      <c r="L1336" s="319">
        <f t="shared" si="100"/>
        <v>125</v>
      </c>
    </row>
    <row r="1337" spans="1:14" customFormat="1">
      <c r="A1337" s="89"/>
      <c r="B1337" s="320"/>
      <c r="C1337" s="55"/>
      <c r="D1337" s="55"/>
      <c r="E1337" s="55"/>
      <c r="F1337" s="55"/>
      <c r="G1337" s="316" t="s">
        <v>429</v>
      </c>
      <c r="H1337" s="317">
        <v>4</v>
      </c>
      <c r="I1337" s="332">
        <v>27</v>
      </c>
      <c r="J1337" s="333">
        <v>1</v>
      </c>
      <c r="K1337" s="318">
        <v>5</v>
      </c>
      <c r="L1337" s="319">
        <f t="shared" si="100"/>
        <v>540</v>
      </c>
    </row>
    <row r="1338" spans="1:14" customFormat="1">
      <c r="A1338" s="89"/>
      <c r="B1338" s="320"/>
      <c r="C1338" s="55"/>
      <c r="D1338" s="55"/>
      <c r="E1338" s="55"/>
      <c r="F1338" s="55"/>
      <c r="G1338" s="316" t="s">
        <v>430</v>
      </c>
      <c r="H1338" s="317">
        <v>8</v>
      </c>
      <c r="I1338" s="332">
        <v>27</v>
      </c>
      <c r="J1338" s="333">
        <v>1</v>
      </c>
      <c r="K1338" s="318">
        <v>5</v>
      </c>
      <c r="L1338" s="319">
        <f t="shared" si="100"/>
        <v>1080</v>
      </c>
    </row>
    <row r="1339" spans="1:14" customFormat="1" ht="24">
      <c r="A1339" s="89"/>
      <c r="B1339" s="320"/>
      <c r="C1339" s="55"/>
      <c r="D1339" s="55"/>
      <c r="E1339" s="55"/>
      <c r="F1339" s="55"/>
      <c r="G1339" s="316" t="s">
        <v>431</v>
      </c>
      <c r="H1339" s="317">
        <v>10</v>
      </c>
      <c r="I1339" s="332">
        <v>25</v>
      </c>
      <c r="J1339" s="333">
        <v>1</v>
      </c>
      <c r="K1339" s="318">
        <v>5</v>
      </c>
      <c r="L1339" s="319">
        <f t="shared" si="100"/>
        <v>1250</v>
      </c>
    </row>
    <row r="1340" spans="1:14" customFormat="1">
      <c r="A1340" s="89"/>
      <c r="B1340" s="320"/>
      <c r="C1340" s="55"/>
      <c r="D1340" s="55"/>
      <c r="E1340" s="55"/>
      <c r="F1340" s="55"/>
      <c r="G1340" s="316" t="s">
        <v>432</v>
      </c>
      <c r="H1340" s="317">
        <v>8</v>
      </c>
      <c r="I1340" s="332">
        <v>1</v>
      </c>
      <c r="J1340" s="333">
        <v>1</v>
      </c>
      <c r="K1340" s="318">
        <v>5</v>
      </c>
      <c r="L1340" s="319">
        <f t="shared" si="100"/>
        <v>40</v>
      </c>
    </row>
    <row r="1341" spans="1:14" customFormat="1">
      <c r="A1341" s="89"/>
      <c r="B1341" s="320"/>
      <c r="C1341" s="55"/>
      <c r="D1341" s="55"/>
      <c r="E1341" s="55"/>
      <c r="F1341" s="55"/>
      <c r="G1341" s="316" t="s">
        <v>463</v>
      </c>
      <c r="H1341" s="317">
        <v>119</v>
      </c>
      <c r="I1341" s="332">
        <v>2</v>
      </c>
      <c r="J1341" s="333">
        <v>1</v>
      </c>
      <c r="K1341" s="318">
        <v>7</v>
      </c>
      <c r="L1341" s="319">
        <f t="shared" si="100"/>
        <v>1666</v>
      </c>
    </row>
    <row r="1342" spans="1:14" customFormat="1">
      <c r="A1342" s="89"/>
      <c r="B1342" s="320"/>
      <c r="C1342" s="55"/>
      <c r="D1342" s="55"/>
      <c r="E1342" s="55"/>
      <c r="F1342" s="55"/>
      <c r="G1342" s="316" t="s">
        <v>434</v>
      </c>
      <c r="H1342" s="317">
        <v>10</v>
      </c>
      <c r="I1342" s="332">
        <v>25</v>
      </c>
      <c r="J1342" s="333">
        <v>1</v>
      </c>
      <c r="K1342" s="318">
        <v>1</v>
      </c>
      <c r="L1342" s="319">
        <f t="shared" si="100"/>
        <v>250</v>
      </c>
    </row>
    <row r="1343" spans="1:14" customFormat="1">
      <c r="A1343" s="89"/>
      <c r="B1343" s="320"/>
      <c r="C1343" s="55"/>
      <c r="D1343" s="55"/>
      <c r="E1343" s="55"/>
      <c r="F1343" s="55"/>
      <c r="G1343" s="316" t="s">
        <v>455</v>
      </c>
      <c r="H1343" s="317">
        <v>260</v>
      </c>
      <c r="I1343" s="332">
        <v>2</v>
      </c>
      <c r="J1343" s="333">
        <v>1</v>
      </c>
      <c r="K1343" s="318">
        <v>1</v>
      </c>
      <c r="L1343" s="319">
        <f t="shared" si="100"/>
        <v>520</v>
      </c>
    </row>
    <row r="1344" spans="1:14" customFormat="1">
      <c r="A1344" s="89"/>
      <c r="B1344" s="320"/>
      <c r="C1344" s="55"/>
      <c r="D1344" s="55"/>
      <c r="E1344" s="55"/>
      <c r="F1344" s="55"/>
      <c r="G1344" s="316" t="s">
        <v>435</v>
      </c>
      <c r="H1344" s="317">
        <v>70</v>
      </c>
      <c r="I1344" s="332">
        <v>1</v>
      </c>
      <c r="J1344" s="333">
        <v>1</v>
      </c>
      <c r="K1344" s="318">
        <v>5</v>
      </c>
      <c r="L1344" s="319">
        <f t="shared" si="100"/>
        <v>350</v>
      </c>
    </row>
    <row r="1345" spans="1:14" customFormat="1">
      <c r="A1345" s="89"/>
      <c r="B1345" s="320"/>
      <c r="C1345" s="55"/>
      <c r="D1345" s="55"/>
      <c r="E1345" s="55"/>
      <c r="F1345" s="55"/>
      <c r="G1345" s="316" t="s">
        <v>443</v>
      </c>
      <c r="H1345" s="317">
        <f>150000/18000</f>
        <v>8.3333333333333339</v>
      </c>
      <c r="I1345" s="332">
        <v>6</v>
      </c>
      <c r="J1345" s="333">
        <v>1</v>
      </c>
      <c r="K1345" s="318">
        <v>1</v>
      </c>
      <c r="L1345" s="319">
        <f t="shared" si="100"/>
        <v>50</v>
      </c>
    </row>
    <row r="1346" spans="1:14" customFormat="1">
      <c r="A1346" s="89"/>
      <c r="B1346" s="320"/>
      <c r="C1346" s="55"/>
      <c r="D1346" s="55"/>
      <c r="E1346" s="55"/>
      <c r="F1346" s="55"/>
      <c r="G1346" s="316" t="s">
        <v>464</v>
      </c>
      <c r="H1346" s="317">
        <f t="shared" ref="H1346" si="101">5500000/18000</f>
        <v>305.55555555555554</v>
      </c>
      <c r="I1346" s="318">
        <v>1</v>
      </c>
      <c r="J1346" s="318">
        <v>1</v>
      </c>
      <c r="K1346" s="318">
        <v>1</v>
      </c>
      <c r="L1346" s="319">
        <f t="shared" si="100"/>
        <v>305.55555555555554</v>
      </c>
    </row>
    <row r="1347" spans="1:14" customFormat="1">
      <c r="A1347" s="89"/>
      <c r="B1347" s="320"/>
      <c r="C1347" s="55"/>
      <c r="D1347" s="55"/>
      <c r="E1347" s="55"/>
      <c r="F1347" s="55"/>
      <c r="G1347" s="316" t="s">
        <v>465</v>
      </c>
      <c r="H1347" s="317">
        <f t="shared" ref="H1347" si="102">3000000/18000</f>
        <v>166.66666666666666</v>
      </c>
      <c r="I1347" s="318">
        <v>1</v>
      </c>
      <c r="J1347" s="318">
        <v>1</v>
      </c>
      <c r="K1347" s="318">
        <v>1</v>
      </c>
      <c r="L1347" s="319">
        <f t="shared" si="100"/>
        <v>166.66666666666666</v>
      </c>
    </row>
    <row r="1348" spans="1:14" customFormat="1">
      <c r="A1348" s="89"/>
      <c r="B1348" s="320"/>
      <c r="C1348" s="55"/>
      <c r="D1348" s="55"/>
      <c r="E1348" s="55"/>
      <c r="F1348" s="55"/>
      <c r="G1348" s="316" t="s">
        <v>447</v>
      </c>
      <c r="H1348" s="317">
        <v>1.19</v>
      </c>
      <c r="I1348" s="318">
        <v>10</v>
      </c>
      <c r="J1348" s="318">
        <v>1</v>
      </c>
      <c r="K1348" s="318">
        <v>5</v>
      </c>
      <c r="L1348" s="319">
        <f t="shared" si="100"/>
        <v>59.499999999999993</v>
      </c>
    </row>
    <row r="1349" spans="1:14" customFormat="1">
      <c r="A1349" s="89"/>
      <c r="B1349" s="320"/>
      <c r="C1349" s="55"/>
      <c r="D1349" s="55"/>
      <c r="E1349" s="55"/>
      <c r="F1349" s="55"/>
      <c r="G1349" s="316" t="s">
        <v>459</v>
      </c>
      <c r="H1349" s="317">
        <f>300000/18000</f>
        <v>16.666666666666668</v>
      </c>
      <c r="I1349" s="318">
        <v>2</v>
      </c>
      <c r="J1349" s="318">
        <v>1</v>
      </c>
      <c r="K1349" s="318">
        <v>1</v>
      </c>
      <c r="L1349" s="319">
        <f t="shared" si="100"/>
        <v>33.333333333333336</v>
      </c>
    </row>
    <row r="1350" spans="1:14" s="138" customFormat="1" ht="51">
      <c r="B1350" s="168"/>
      <c r="C1350" s="168"/>
      <c r="D1350" s="135" t="s">
        <v>352</v>
      </c>
      <c r="E1350" s="136" t="s">
        <v>383</v>
      </c>
      <c r="F1350" s="202">
        <v>3</v>
      </c>
      <c r="G1350" s="203" t="s">
        <v>4</v>
      </c>
      <c r="H1350" s="168"/>
      <c r="I1350" s="168"/>
      <c r="J1350" s="168"/>
      <c r="K1350" s="168"/>
      <c r="L1350" s="193">
        <f>SUM(L1351:L1355)</f>
        <v>464.16666666666663</v>
      </c>
      <c r="M1350" s="168"/>
      <c r="N1350" s="168"/>
    </row>
    <row r="1351" spans="1:14">
      <c r="B1351" s="106">
        <v>1159</v>
      </c>
      <c r="C1351" s="117">
        <v>129</v>
      </c>
      <c r="D1351" s="55"/>
      <c r="E1351" s="55"/>
      <c r="F1351" s="55"/>
      <c r="G1351" s="119" t="s">
        <v>466</v>
      </c>
      <c r="H1351" s="120">
        <v>92.8</v>
      </c>
      <c r="I1351" s="119">
        <v>1</v>
      </c>
      <c r="J1351" s="119">
        <v>1</v>
      </c>
      <c r="K1351" s="120">
        <v>1</v>
      </c>
      <c r="L1351" s="330">
        <f>$L$1356+$L$1357</f>
        <v>92.833333333333329</v>
      </c>
      <c r="M1351" s="111"/>
      <c r="N1351" s="111"/>
    </row>
    <row r="1352" spans="1:14">
      <c r="B1352" s="106">
        <v>1160</v>
      </c>
      <c r="C1352" s="117">
        <v>129</v>
      </c>
      <c r="D1352" s="55"/>
      <c r="E1352" s="55"/>
      <c r="F1352" s="55"/>
      <c r="G1352" s="119" t="s">
        <v>467</v>
      </c>
      <c r="H1352" s="120">
        <v>92.8</v>
      </c>
      <c r="I1352" s="119">
        <v>1</v>
      </c>
      <c r="J1352" s="119">
        <v>1</v>
      </c>
      <c r="K1352" s="120">
        <v>1</v>
      </c>
      <c r="L1352" s="330">
        <f t="shared" ref="L1352:L1355" si="103">$L$1356+$L$1357</f>
        <v>92.833333333333329</v>
      </c>
      <c r="M1352" s="111"/>
      <c r="N1352" s="111"/>
    </row>
    <row r="1353" spans="1:14">
      <c r="B1353" s="106">
        <v>1161</v>
      </c>
      <c r="C1353" s="117">
        <v>129</v>
      </c>
      <c r="D1353" s="55"/>
      <c r="E1353" s="55"/>
      <c r="F1353" s="55"/>
      <c r="G1353" s="119" t="s">
        <v>468</v>
      </c>
      <c r="H1353" s="120">
        <v>92.8</v>
      </c>
      <c r="I1353" s="119">
        <v>1</v>
      </c>
      <c r="J1353" s="119">
        <v>1</v>
      </c>
      <c r="K1353" s="120">
        <v>1</v>
      </c>
      <c r="L1353" s="330">
        <f t="shared" si="103"/>
        <v>92.833333333333329</v>
      </c>
      <c r="M1353" s="111"/>
      <c r="N1353" s="111"/>
    </row>
    <row r="1354" spans="1:14">
      <c r="B1354" s="106">
        <v>1162</v>
      </c>
      <c r="C1354" s="117">
        <v>129</v>
      </c>
      <c r="D1354" s="55"/>
      <c r="E1354" s="55"/>
      <c r="F1354" s="55"/>
      <c r="G1354" s="119" t="s">
        <v>469</v>
      </c>
      <c r="H1354" s="120">
        <v>92.8</v>
      </c>
      <c r="I1354" s="119">
        <v>1</v>
      </c>
      <c r="J1354" s="119">
        <v>1</v>
      </c>
      <c r="K1354" s="120">
        <v>1</v>
      </c>
      <c r="L1354" s="330">
        <f t="shared" si="103"/>
        <v>92.833333333333329</v>
      </c>
      <c r="M1354" s="111"/>
      <c r="N1354" s="111"/>
    </row>
    <row r="1355" spans="1:14">
      <c r="B1355" s="106">
        <v>1163</v>
      </c>
      <c r="C1355" s="117">
        <v>129</v>
      </c>
      <c r="D1355" s="55"/>
      <c r="E1355" s="55"/>
      <c r="F1355" s="55"/>
      <c r="G1355" s="119" t="s">
        <v>470</v>
      </c>
      <c r="H1355" s="120">
        <v>92.8</v>
      </c>
      <c r="I1355" s="119">
        <v>1</v>
      </c>
      <c r="J1355" s="119">
        <v>1</v>
      </c>
      <c r="K1355" s="120">
        <v>1</v>
      </c>
      <c r="L1355" s="330">
        <f t="shared" si="103"/>
        <v>92.833333333333329</v>
      </c>
      <c r="M1355" s="111"/>
      <c r="N1355" s="111"/>
    </row>
    <row r="1356" spans="1:14" customFormat="1">
      <c r="A1356" s="89"/>
      <c r="B1356" s="315"/>
      <c r="C1356" s="2"/>
      <c r="D1356" s="2"/>
      <c r="E1356" s="2"/>
      <c r="F1356" s="2"/>
      <c r="G1356" s="316" t="s">
        <v>447</v>
      </c>
      <c r="H1356" s="317">
        <v>1.19</v>
      </c>
      <c r="I1356" s="318">
        <v>10</v>
      </c>
      <c r="J1356" s="318">
        <v>1</v>
      </c>
      <c r="K1356" s="318">
        <v>5</v>
      </c>
      <c r="L1356" s="319">
        <f t="shared" ref="L1356:L1357" si="104">+H1356*I1356*J1356*K1356</f>
        <v>59.499999999999993</v>
      </c>
    </row>
    <row r="1357" spans="1:14" customFormat="1">
      <c r="A1357" s="89"/>
      <c r="B1357" s="315"/>
      <c r="C1357" s="2"/>
      <c r="D1357" s="2"/>
      <c r="E1357" s="2"/>
      <c r="F1357" s="2"/>
      <c r="G1357" s="316" t="s">
        <v>459</v>
      </c>
      <c r="H1357" s="317">
        <f>300000/18000</f>
        <v>16.666666666666668</v>
      </c>
      <c r="I1357" s="318">
        <v>2</v>
      </c>
      <c r="J1357" s="318">
        <v>1</v>
      </c>
      <c r="K1357" s="318">
        <v>1</v>
      </c>
      <c r="L1357" s="319">
        <f t="shared" si="104"/>
        <v>33.333333333333336</v>
      </c>
    </row>
    <row r="1358" spans="1:14" s="138" customFormat="1" ht="25.5">
      <c r="D1358" s="135" t="s">
        <v>353</v>
      </c>
      <c r="E1358" s="136" t="s">
        <v>369</v>
      </c>
      <c r="F1358" s="202">
        <v>1</v>
      </c>
      <c r="G1358" s="203" t="s">
        <v>4</v>
      </c>
      <c r="H1358" s="168"/>
      <c r="I1358" s="168"/>
      <c r="J1358" s="168"/>
      <c r="K1358" s="168"/>
      <c r="L1358" s="193">
        <f>SUM(L1364:L1385)</f>
        <v>6502.7564645041803</v>
      </c>
      <c r="M1358" s="168"/>
      <c r="N1358" s="168"/>
    </row>
    <row r="1359" spans="1:14">
      <c r="B1359" s="106">
        <v>1159</v>
      </c>
      <c r="C1359" s="117">
        <v>129</v>
      </c>
      <c r="D1359" s="55"/>
      <c r="E1359" s="55"/>
      <c r="F1359" s="55"/>
      <c r="G1359" s="119" t="s">
        <v>466</v>
      </c>
      <c r="H1359" s="120">
        <v>0</v>
      </c>
      <c r="I1359" s="119">
        <v>1</v>
      </c>
      <c r="J1359" s="119">
        <v>1</v>
      </c>
      <c r="K1359" s="120">
        <v>1</v>
      </c>
      <c r="L1359" s="164"/>
      <c r="M1359" s="111"/>
      <c r="N1359" s="111"/>
    </row>
    <row r="1360" spans="1:14">
      <c r="B1360" s="106">
        <v>1160</v>
      </c>
      <c r="C1360" s="117">
        <v>129</v>
      </c>
      <c r="D1360" s="55"/>
      <c r="E1360" s="55"/>
      <c r="F1360" s="55"/>
      <c r="G1360" s="119" t="s">
        <v>467</v>
      </c>
      <c r="H1360" s="120"/>
      <c r="I1360" s="119">
        <v>1</v>
      </c>
      <c r="J1360" s="119">
        <v>1</v>
      </c>
      <c r="K1360" s="120">
        <v>1</v>
      </c>
      <c r="L1360" s="164"/>
      <c r="M1360" s="111"/>
      <c r="N1360" s="111"/>
    </row>
    <row r="1361" spans="1:14">
      <c r="B1361" s="106">
        <v>1161</v>
      </c>
      <c r="C1361" s="117">
        <v>129</v>
      </c>
      <c r="D1361" s="55"/>
      <c r="E1361" s="55"/>
      <c r="F1361" s="55"/>
      <c r="G1361" s="119" t="s">
        <v>468</v>
      </c>
      <c r="H1361" s="120">
        <v>6502.8</v>
      </c>
      <c r="I1361" s="119">
        <v>1</v>
      </c>
      <c r="J1361" s="119">
        <v>1</v>
      </c>
      <c r="K1361" s="120">
        <v>1</v>
      </c>
      <c r="L1361" s="329">
        <f>L1358</f>
        <v>6502.7564645041803</v>
      </c>
      <c r="M1361" s="111"/>
      <c r="N1361" s="111"/>
    </row>
    <row r="1362" spans="1:14">
      <c r="B1362" s="106">
        <v>1162</v>
      </c>
      <c r="C1362" s="117">
        <v>129</v>
      </c>
      <c r="D1362" s="55"/>
      <c r="E1362" s="55"/>
      <c r="F1362" s="55"/>
      <c r="G1362" s="119" t="s">
        <v>469</v>
      </c>
      <c r="H1362" s="120"/>
      <c r="I1362" s="119">
        <v>1</v>
      </c>
      <c r="J1362" s="119">
        <v>1</v>
      </c>
      <c r="K1362" s="120">
        <v>1</v>
      </c>
      <c r="L1362" s="164"/>
      <c r="M1362" s="111"/>
      <c r="N1362" s="111"/>
    </row>
    <row r="1363" spans="1:14">
      <c r="B1363" s="106">
        <v>1163</v>
      </c>
      <c r="C1363" s="117">
        <v>129</v>
      </c>
      <c r="D1363" s="55"/>
      <c r="E1363" s="55"/>
      <c r="F1363" s="55"/>
      <c r="G1363" s="119" t="s">
        <v>470</v>
      </c>
      <c r="H1363" s="120"/>
      <c r="I1363" s="119">
        <v>1</v>
      </c>
      <c r="J1363" s="119">
        <v>1</v>
      </c>
      <c r="K1363" s="120">
        <v>1</v>
      </c>
      <c r="L1363" s="164"/>
      <c r="M1363" s="111"/>
      <c r="N1363" s="111"/>
    </row>
    <row r="1364" spans="1:14" customFormat="1">
      <c r="A1364" s="89"/>
      <c r="B1364" s="320"/>
      <c r="C1364" s="55"/>
      <c r="D1364" s="55"/>
      <c r="E1364" s="55"/>
      <c r="F1364" s="55"/>
      <c r="G1364" s="341" t="s">
        <v>1114</v>
      </c>
      <c r="H1364" s="341"/>
      <c r="I1364" s="341"/>
      <c r="J1364" s="341"/>
      <c r="K1364" s="341"/>
      <c r="L1364" s="319">
        <f t="shared" ref="L1364:L1385" si="105">+H1364*I1364*J1364*K1364</f>
        <v>0</v>
      </c>
    </row>
    <row r="1365" spans="1:14" customFormat="1">
      <c r="A1365" s="89"/>
      <c r="B1365" s="320"/>
      <c r="C1365" s="55"/>
      <c r="D1365" s="55"/>
      <c r="E1365" s="55"/>
      <c r="F1365" s="55"/>
      <c r="G1365" s="316" t="s">
        <v>429</v>
      </c>
      <c r="H1365" s="317">
        <v>4</v>
      </c>
      <c r="I1365" s="332">
        <v>35</v>
      </c>
      <c r="J1365" s="333">
        <v>1</v>
      </c>
      <c r="K1365" s="332">
        <v>5</v>
      </c>
      <c r="L1365" s="319">
        <f t="shared" si="105"/>
        <v>700</v>
      </c>
    </row>
    <row r="1366" spans="1:14" customFormat="1">
      <c r="A1366" s="89"/>
      <c r="B1366" s="320"/>
      <c r="C1366" s="55"/>
      <c r="D1366" s="55"/>
      <c r="E1366" s="55"/>
      <c r="F1366" s="55"/>
      <c r="G1366" s="316" t="s">
        <v>430</v>
      </c>
      <c r="H1366" s="317">
        <v>8</v>
      </c>
      <c r="I1366" s="332">
        <v>35</v>
      </c>
      <c r="J1366" s="333">
        <v>1</v>
      </c>
      <c r="K1366" s="332">
        <v>5</v>
      </c>
      <c r="L1366" s="319">
        <f t="shared" si="105"/>
        <v>1400</v>
      </c>
    </row>
    <row r="1367" spans="1:14" customFormat="1" ht="24">
      <c r="A1367" s="89"/>
      <c r="B1367" s="320"/>
      <c r="C1367" s="55"/>
      <c r="D1367" s="55"/>
      <c r="E1367" s="55"/>
      <c r="F1367" s="55"/>
      <c r="G1367" s="316" t="s">
        <v>431</v>
      </c>
      <c r="H1367" s="317">
        <v>10</v>
      </c>
      <c r="I1367" s="332">
        <v>35</v>
      </c>
      <c r="J1367" s="333">
        <v>1</v>
      </c>
      <c r="K1367" s="332">
        <v>5</v>
      </c>
      <c r="L1367" s="319">
        <f t="shared" si="105"/>
        <v>1750</v>
      </c>
    </row>
    <row r="1368" spans="1:14" customFormat="1">
      <c r="A1368" s="89"/>
      <c r="B1368" s="320"/>
      <c r="C1368" s="55"/>
      <c r="D1368" s="55"/>
      <c r="E1368" s="55"/>
      <c r="F1368" s="55"/>
      <c r="G1368" s="316" t="s">
        <v>432</v>
      </c>
      <c r="H1368" s="317">
        <v>8</v>
      </c>
      <c r="I1368" s="332">
        <v>1</v>
      </c>
      <c r="J1368" s="333">
        <v>1</v>
      </c>
      <c r="K1368" s="332">
        <v>5</v>
      </c>
      <c r="L1368" s="319">
        <f t="shared" si="105"/>
        <v>40</v>
      </c>
    </row>
    <row r="1369" spans="1:14" customFormat="1">
      <c r="A1369" s="89"/>
      <c r="B1369" s="320"/>
      <c r="C1369" s="55"/>
      <c r="D1369" s="55"/>
      <c r="E1369" s="55"/>
      <c r="F1369" s="55"/>
      <c r="G1369" s="316" t="s">
        <v>433</v>
      </c>
      <c r="H1369" s="317">
        <v>10</v>
      </c>
      <c r="I1369" s="332">
        <v>1</v>
      </c>
      <c r="J1369" s="333">
        <v>1</v>
      </c>
      <c r="K1369" s="332">
        <v>5</v>
      </c>
      <c r="L1369" s="319">
        <f t="shared" si="105"/>
        <v>50</v>
      </c>
    </row>
    <row r="1370" spans="1:14" customFormat="1">
      <c r="A1370" s="89"/>
      <c r="B1370" s="320"/>
      <c r="C1370" s="55"/>
      <c r="D1370" s="55"/>
      <c r="E1370" s="55"/>
      <c r="F1370" s="55"/>
      <c r="G1370" s="316" t="s">
        <v>434</v>
      </c>
      <c r="H1370" s="317">
        <v>10</v>
      </c>
      <c r="I1370" s="332">
        <v>35</v>
      </c>
      <c r="J1370" s="333">
        <v>1</v>
      </c>
      <c r="K1370" s="332">
        <v>1</v>
      </c>
      <c r="L1370" s="319">
        <f t="shared" si="105"/>
        <v>350</v>
      </c>
    </row>
    <row r="1371" spans="1:14" customFormat="1">
      <c r="A1371" s="89"/>
      <c r="B1371" s="320"/>
      <c r="C1371" s="55"/>
      <c r="D1371" s="55"/>
      <c r="E1371" s="55"/>
      <c r="F1371" s="55"/>
      <c r="G1371" s="316" t="s">
        <v>435</v>
      </c>
      <c r="H1371" s="317">
        <v>70</v>
      </c>
      <c r="I1371" s="332">
        <v>1</v>
      </c>
      <c r="J1371" s="333">
        <v>1</v>
      </c>
      <c r="K1371" s="332">
        <v>5</v>
      </c>
      <c r="L1371" s="319">
        <f t="shared" si="105"/>
        <v>350</v>
      </c>
    </row>
    <row r="1372" spans="1:14" customFormat="1">
      <c r="A1372" s="89"/>
      <c r="B1372" s="320"/>
      <c r="C1372" s="55"/>
      <c r="D1372" s="55"/>
      <c r="E1372" s="55"/>
      <c r="F1372" s="55"/>
      <c r="G1372" s="316" t="s">
        <v>436</v>
      </c>
      <c r="H1372" s="343">
        <v>0.88038502171616384</v>
      </c>
      <c r="I1372" s="336">
        <v>1</v>
      </c>
      <c r="J1372" s="337">
        <v>1</v>
      </c>
      <c r="K1372" s="336">
        <v>1</v>
      </c>
      <c r="L1372" s="319">
        <f t="shared" si="105"/>
        <v>0.88038502171616384</v>
      </c>
    </row>
    <row r="1373" spans="1:14" customFormat="1">
      <c r="A1373" s="89"/>
      <c r="B1373" s="320"/>
      <c r="C1373" s="55"/>
      <c r="D1373" s="55"/>
      <c r="E1373" s="55"/>
      <c r="F1373" s="55"/>
      <c r="G1373" s="316" t="s">
        <v>437</v>
      </c>
      <c r="H1373" s="343">
        <f>400000/17038</f>
        <v>23.476933912431036</v>
      </c>
      <c r="I1373" s="336">
        <v>1</v>
      </c>
      <c r="J1373" s="337">
        <v>1</v>
      </c>
      <c r="K1373" s="336">
        <v>1</v>
      </c>
      <c r="L1373" s="319">
        <f t="shared" si="105"/>
        <v>23.476933912431036</v>
      </c>
    </row>
    <row r="1374" spans="1:14" customFormat="1">
      <c r="A1374" s="89"/>
      <c r="B1374" s="320"/>
      <c r="C1374" s="55"/>
      <c r="D1374" s="55"/>
      <c r="E1374" s="55"/>
      <c r="F1374" s="55"/>
      <c r="G1374" s="316" t="s">
        <v>438</v>
      </c>
      <c r="H1374" s="343">
        <v>0.58692334781077593</v>
      </c>
      <c r="I1374" s="336">
        <v>1</v>
      </c>
      <c r="J1374" s="337">
        <v>1</v>
      </c>
      <c r="K1374" s="336">
        <v>1</v>
      </c>
      <c r="L1374" s="319">
        <f t="shared" si="105"/>
        <v>0.58692334781077593</v>
      </c>
    </row>
    <row r="1375" spans="1:14" customFormat="1">
      <c r="A1375" s="89"/>
      <c r="B1375" s="320"/>
      <c r="C1375" s="55"/>
      <c r="D1375" s="55"/>
      <c r="E1375" s="55"/>
      <c r="F1375" s="55"/>
      <c r="G1375" s="316" t="s">
        <v>439</v>
      </c>
      <c r="H1375" s="343">
        <v>135</v>
      </c>
      <c r="I1375" s="332">
        <v>1</v>
      </c>
      <c r="J1375" s="333">
        <v>1</v>
      </c>
      <c r="K1375" s="332">
        <v>7</v>
      </c>
      <c r="L1375" s="319">
        <f t="shared" si="105"/>
        <v>945</v>
      </c>
    </row>
    <row r="1376" spans="1:14" customFormat="1">
      <c r="A1376" s="89"/>
      <c r="B1376" s="320"/>
      <c r="C1376" s="55"/>
      <c r="D1376" s="55"/>
      <c r="E1376" s="55"/>
      <c r="F1376" s="55"/>
      <c r="G1376" s="316" t="s">
        <v>440</v>
      </c>
      <c r="H1376" s="343">
        <v>260.3</v>
      </c>
      <c r="I1376" s="332">
        <v>1</v>
      </c>
      <c r="J1376" s="333">
        <v>1</v>
      </c>
      <c r="K1376" s="332">
        <v>1</v>
      </c>
      <c r="L1376" s="319">
        <f t="shared" si="105"/>
        <v>260.3</v>
      </c>
    </row>
    <row r="1377" spans="1:14" customFormat="1">
      <c r="A1377" s="89"/>
      <c r="B1377" s="320"/>
      <c r="C1377" s="55"/>
      <c r="D1377" s="55"/>
      <c r="E1377" s="55"/>
      <c r="F1377" s="55"/>
      <c r="G1377" s="344" t="s">
        <v>441</v>
      </c>
      <c r="H1377" s="317"/>
      <c r="I1377" s="332"/>
      <c r="J1377" s="333"/>
      <c r="K1377" s="332"/>
      <c r="L1377" s="319">
        <f t="shared" si="105"/>
        <v>0</v>
      </c>
    </row>
    <row r="1378" spans="1:14" customFormat="1">
      <c r="A1378" s="89"/>
      <c r="B1378" s="320"/>
      <c r="C1378" s="55"/>
      <c r="D1378" s="55"/>
      <c r="E1378" s="55"/>
      <c r="F1378" s="55"/>
      <c r="G1378" s="316" t="s">
        <v>442</v>
      </c>
      <c r="H1378" s="317">
        <v>6</v>
      </c>
      <c r="I1378" s="332">
        <v>35</v>
      </c>
      <c r="J1378" s="333">
        <v>1</v>
      </c>
      <c r="K1378" s="332">
        <v>1</v>
      </c>
      <c r="L1378" s="319">
        <f t="shared" si="105"/>
        <v>210</v>
      </c>
    </row>
    <row r="1379" spans="1:14" customFormat="1">
      <c r="A1379" s="89"/>
      <c r="B1379" s="320"/>
      <c r="C1379" s="55"/>
      <c r="D1379" s="55"/>
      <c r="E1379" s="55"/>
      <c r="F1379" s="55"/>
      <c r="G1379" s="316" t="s">
        <v>435</v>
      </c>
      <c r="H1379" s="317">
        <v>70</v>
      </c>
      <c r="I1379" s="332">
        <v>1</v>
      </c>
      <c r="J1379" s="333">
        <v>1</v>
      </c>
      <c r="K1379" s="332">
        <v>1</v>
      </c>
      <c r="L1379" s="319">
        <f t="shared" si="105"/>
        <v>70</v>
      </c>
    </row>
    <row r="1380" spans="1:14" customFormat="1">
      <c r="A1380" s="89"/>
      <c r="B1380" s="320"/>
      <c r="C1380" s="55"/>
      <c r="D1380" s="55"/>
      <c r="E1380" s="55"/>
      <c r="F1380" s="55"/>
      <c r="G1380" s="316" t="s">
        <v>443</v>
      </c>
      <c r="H1380" s="317">
        <f>150000/18000</f>
        <v>8.3333333333333339</v>
      </c>
      <c r="I1380" s="345">
        <f>(25*35)/500</f>
        <v>1.75</v>
      </c>
      <c r="J1380" s="333">
        <v>1</v>
      </c>
      <c r="K1380" s="332">
        <v>1</v>
      </c>
      <c r="L1380" s="319">
        <f t="shared" si="105"/>
        <v>14.583333333333334</v>
      </c>
    </row>
    <row r="1381" spans="1:14" customFormat="1">
      <c r="A1381" s="89"/>
      <c r="B1381" s="320"/>
      <c r="C1381" s="55"/>
      <c r="D1381" s="55"/>
      <c r="E1381" s="55"/>
      <c r="F1381" s="55"/>
      <c r="G1381" s="316" t="s">
        <v>444</v>
      </c>
      <c r="H1381" s="317">
        <f>20000/18000</f>
        <v>1.1111111111111112</v>
      </c>
      <c r="I1381" s="332">
        <v>35</v>
      </c>
      <c r="J1381" s="333">
        <v>1</v>
      </c>
      <c r="K1381" s="332">
        <v>1</v>
      </c>
      <c r="L1381" s="319">
        <f t="shared" si="105"/>
        <v>38.888888888888893</v>
      </c>
    </row>
    <row r="1382" spans="1:14" customFormat="1">
      <c r="A1382" s="89"/>
      <c r="B1382" s="320"/>
      <c r="C1382" s="55"/>
      <c r="D1382" s="55"/>
      <c r="E1382" s="55"/>
      <c r="F1382" s="55"/>
      <c r="G1382" s="316" t="s">
        <v>445</v>
      </c>
      <c r="H1382" s="317">
        <v>0.56000000000000005</v>
      </c>
      <c r="I1382" s="332">
        <v>70</v>
      </c>
      <c r="J1382" s="333">
        <v>1</v>
      </c>
      <c r="K1382" s="332">
        <v>1</v>
      </c>
      <c r="L1382" s="319">
        <f t="shared" si="105"/>
        <v>39.200000000000003</v>
      </c>
    </row>
    <row r="1383" spans="1:14" customFormat="1" ht="24">
      <c r="A1383" s="89"/>
      <c r="B1383" s="320"/>
      <c r="C1383" s="55"/>
      <c r="D1383" s="55"/>
      <c r="E1383" s="55"/>
      <c r="F1383" s="55"/>
      <c r="G1383" s="316" t="s">
        <v>1101</v>
      </c>
      <c r="H1383" s="317">
        <v>167</v>
      </c>
      <c r="I1383" s="332">
        <v>1</v>
      </c>
      <c r="J1383" s="333">
        <v>1</v>
      </c>
      <c r="K1383" s="332">
        <v>1</v>
      </c>
      <c r="L1383" s="319">
        <f t="shared" si="105"/>
        <v>167</v>
      </c>
    </row>
    <row r="1384" spans="1:14" customFormat="1">
      <c r="A1384" s="89"/>
      <c r="B1384" s="320"/>
      <c r="C1384" s="55"/>
      <c r="D1384" s="55"/>
      <c r="E1384" s="55"/>
      <c r="F1384" s="55"/>
      <c r="G1384" s="344" t="s">
        <v>446</v>
      </c>
      <c r="H1384" s="317">
        <v>16.670000000000002</v>
      </c>
      <c r="I1384" s="332">
        <v>2</v>
      </c>
      <c r="J1384" s="333">
        <v>1</v>
      </c>
      <c r="K1384" s="332">
        <v>1</v>
      </c>
      <c r="L1384" s="319">
        <f t="shared" si="105"/>
        <v>33.340000000000003</v>
      </c>
    </row>
    <row r="1385" spans="1:14" customFormat="1">
      <c r="A1385" s="89"/>
      <c r="B1385" s="320"/>
      <c r="C1385" s="55"/>
      <c r="D1385" s="55"/>
      <c r="E1385" s="55"/>
      <c r="F1385" s="55"/>
      <c r="G1385" s="344" t="s">
        <v>447</v>
      </c>
      <c r="H1385" s="317">
        <v>1.19</v>
      </c>
      <c r="I1385" s="332">
        <v>10</v>
      </c>
      <c r="J1385" s="333">
        <v>1</v>
      </c>
      <c r="K1385" s="332">
        <v>5</v>
      </c>
      <c r="L1385" s="319">
        <f t="shared" si="105"/>
        <v>59.499999999999993</v>
      </c>
    </row>
    <row r="1386" spans="1:14" s="138" customFormat="1" ht="25.5">
      <c r="B1386" s="168"/>
      <c r="C1386" s="168"/>
      <c r="D1386" s="135" t="s">
        <v>354</v>
      </c>
      <c r="E1386" s="136" t="s">
        <v>372</v>
      </c>
      <c r="F1386" s="202">
        <v>1</v>
      </c>
      <c r="G1386" s="203" t="s">
        <v>4</v>
      </c>
      <c r="H1386" s="168"/>
      <c r="I1386" s="168"/>
      <c r="J1386" s="168"/>
      <c r="K1386" s="168"/>
      <c r="L1386" s="193">
        <f>SUM(L1387:L1391)</f>
        <v>14028.4</v>
      </c>
      <c r="M1386" s="168"/>
      <c r="N1386" s="168"/>
    </row>
    <row r="1387" spans="1:14">
      <c r="B1387" s="106">
        <v>1159</v>
      </c>
      <c r="C1387" s="117">
        <v>129</v>
      </c>
      <c r="D1387" s="55"/>
      <c r="E1387" s="55"/>
      <c r="F1387" s="55"/>
      <c r="G1387" s="119" t="s">
        <v>466</v>
      </c>
      <c r="H1387" s="120">
        <v>14028.4</v>
      </c>
      <c r="I1387" s="119">
        <v>1</v>
      </c>
      <c r="J1387" s="119">
        <v>1</v>
      </c>
      <c r="K1387" s="120">
        <v>1</v>
      </c>
      <c r="L1387" s="164">
        <f>H1387*I1387*J1387*K1387</f>
        <v>14028.4</v>
      </c>
      <c r="M1387" s="111"/>
      <c r="N1387" s="111"/>
    </row>
    <row r="1388" spans="1:14">
      <c r="B1388" s="106">
        <v>1160</v>
      </c>
      <c r="C1388" s="117">
        <v>129</v>
      </c>
      <c r="D1388" s="55"/>
      <c r="E1388" s="55"/>
      <c r="F1388" s="55"/>
      <c r="G1388" s="119" t="s">
        <v>467</v>
      </c>
      <c r="H1388" s="120">
        <v>0</v>
      </c>
      <c r="I1388" s="119">
        <v>1</v>
      </c>
      <c r="J1388" s="119">
        <v>1</v>
      </c>
      <c r="K1388" s="120">
        <v>1</v>
      </c>
      <c r="L1388" s="164">
        <f t="shared" ref="L1388:L1391" si="106">H1388*I1388*J1388*K1388</f>
        <v>0</v>
      </c>
      <c r="M1388" s="111"/>
      <c r="N1388" s="111"/>
    </row>
    <row r="1389" spans="1:14">
      <c r="B1389" s="106">
        <v>1161</v>
      </c>
      <c r="C1389" s="117">
        <v>129</v>
      </c>
      <c r="D1389" s="55"/>
      <c r="E1389" s="55"/>
      <c r="F1389" s="55"/>
      <c r="G1389" s="119" t="s">
        <v>468</v>
      </c>
      <c r="H1389" s="120">
        <v>0</v>
      </c>
      <c r="I1389" s="119">
        <v>1</v>
      </c>
      <c r="J1389" s="119">
        <v>1</v>
      </c>
      <c r="K1389" s="120">
        <v>1</v>
      </c>
      <c r="L1389" s="164">
        <f t="shared" si="106"/>
        <v>0</v>
      </c>
      <c r="M1389" s="111"/>
      <c r="N1389" s="111"/>
    </row>
    <row r="1390" spans="1:14">
      <c r="B1390" s="106">
        <v>1162</v>
      </c>
      <c r="C1390" s="117">
        <v>129</v>
      </c>
      <c r="D1390" s="55"/>
      <c r="E1390" s="55"/>
      <c r="F1390" s="55"/>
      <c r="G1390" s="119" t="s">
        <v>469</v>
      </c>
      <c r="H1390" s="120">
        <v>0</v>
      </c>
      <c r="I1390" s="119">
        <v>1</v>
      </c>
      <c r="J1390" s="119">
        <v>1</v>
      </c>
      <c r="K1390" s="120">
        <v>1</v>
      </c>
      <c r="L1390" s="164">
        <f t="shared" si="106"/>
        <v>0</v>
      </c>
      <c r="M1390" s="111"/>
      <c r="N1390" s="111"/>
    </row>
    <row r="1391" spans="1:14">
      <c r="B1391" s="106">
        <v>1163</v>
      </c>
      <c r="C1391" s="117">
        <v>129</v>
      </c>
      <c r="D1391" s="55"/>
      <c r="E1391" s="55"/>
      <c r="F1391" s="55"/>
      <c r="G1391" s="119" t="s">
        <v>470</v>
      </c>
      <c r="H1391" s="120">
        <v>0</v>
      </c>
      <c r="I1391" s="119">
        <v>1</v>
      </c>
      <c r="J1391" s="119">
        <v>1</v>
      </c>
      <c r="K1391" s="120">
        <v>1</v>
      </c>
      <c r="L1391" s="164">
        <f t="shared" si="106"/>
        <v>0</v>
      </c>
      <c r="M1391" s="111"/>
      <c r="N1391" s="111"/>
    </row>
    <row r="1392" spans="1:14" s="138" customFormat="1" ht="25.5">
      <c r="D1392" s="135" t="s">
        <v>355</v>
      </c>
      <c r="E1392" s="136" t="s">
        <v>371</v>
      </c>
      <c r="F1392" s="202">
        <v>1</v>
      </c>
      <c r="G1392" s="203" t="s">
        <v>4</v>
      </c>
      <c r="H1392" s="168"/>
      <c r="I1392" s="168"/>
      <c r="J1392" s="168"/>
      <c r="K1392" s="168"/>
      <c r="L1392" s="193">
        <f>SUM(L1393:L1397)</f>
        <v>0</v>
      </c>
      <c r="M1392" s="168"/>
      <c r="N1392" s="168"/>
    </row>
    <row r="1393" spans="2:14">
      <c r="B1393" s="106">
        <v>1159</v>
      </c>
      <c r="C1393" s="117">
        <v>129</v>
      </c>
      <c r="D1393" s="55"/>
      <c r="E1393" s="55"/>
      <c r="F1393" s="55"/>
      <c r="G1393" s="119" t="s">
        <v>466</v>
      </c>
      <c r="H1393" s="120">
        <v>0</v>
      </c>
      <c r="I1393" s="119">
        <v>1</v>
      </c>
      <c r="J1393" s="119">
        <v>1</v>
      </c>
      <c r="K1393" s="120">
        <v>1</v>
      </c>
      <c r="L1393" s="164">
        <f>H1393*I1393*J1393*K1393</f>
        <v>0</v>
      </c>
      <c r="M1393" s="111"/>
      <c r="N1393" s="111"/>
    </row>
    <row r="1394" spans="2:14">
      <c r="B1394" s="106">
        <v>1160</v>
      </c>
      <c r="C1394" s="117">
        <v>129</v>
      </c>
      <c r="D1394" s="55"/>
      <c r="E1394" s="55"/>
      <c r="F1394" s="55"/>
      <c r="G1394" s="119" t="s">
        <v>467</v>
      </c>
      <c r="H1394" s="120">
        <v>0</v>
      </c>
      <c r="I1394" s="119">
        <v>1</v>
      </c>
      <c r="J1394" s="119">
        <v>1</v>
      </c>
      <c r="K1394" s="120">
        <v>1</v>
      </c>
      <c r="L1394" s="164">
        <f t="shared" ref="L1394:L1397" si="107">H1394*I1394*J1394*K1394</f>
        <v>0</v>
      </c>
      <c r="M1394" s="111"/>
      <c r="N1394" s="111"/>
    </row>
    <row r="1395" spans="2:14">
      <c r="B1395" s="106">
        <v>1161</v>
      </c>
      <c r="C1395" s="117">
        <v>129</v>
      </c>
      <c r="D1395" s="55"/>
      <c r="E1395" s="55"/>
      <c r="F1395" s="55"/>
      <c r="G1395" s="119" t="s">
        <v>468</v>
      </c>
      <c r="H1395" s="120">
        <v>0</v>
      </c>
      <c r="I1395" s="119">
        <v>1</v>
      </c>
      <c r="J1395" s="119">
        <v>1</v>
      </c>
      <c r="K1395" s="120">
        <v>1</v>
      </c>
      <c r="L1395" s="164">
        <f t="shared" si="107"/>
        <v>0</v>
      </c>
      <c r="M1395" s="111"/>
      <c r="N1395" s="111"/>
    </row>
    <row r="1396" spans="2:14">
      <c r="B1396" s="106">
        <v>1162</v>
      </c>
      <c r="C1396" s="117">
        <v>129</v>
      </c>
      <c r="D1396" s="55"/>
      <c r="E1396" s="55"/>
      <c r="F1396" s="55"/>
      <c r="G1396" s="119" t="s">
        <v>469</v>
      </c>
      <c r="H1396" s="120">
        <v>0</v>
      </c>
      <c r="I1396" s="119">
        <v>1</v>
      </c>
      <c r="J1396" s="119">
        <v>1</v>
      </c>
      <c r="K1396" s="120">
        <v>1</v>
      </c>
      <c r="L1396" s="164">
        <f t="shared" si="107"/>
        <v>0</v>
      </c>
      <c r="M1396" s="111"/>
      <c r="N1396" s="111"/>
    </row>
    <row r="1397" spans="2:14">
      <c r="B1397" s="106">
        <v>1163</v>
      </c>
      <c r="C1397" s="117">
        <v>129</v>
      </c>
      <c r="D1397" s="55"/>
      <c r="E1397" s="55"/>
      <c r="F1397" s="55"/>
      <c r="G1397" s="119" t="s">
        <v>470</v>
      </c>
      <c r="H1397" s="120">
        <v>0</v>
      </c>
      <c r="I1397" s="119">
        <v>1</v>
      </c>
      <c r="J1397" s="119">
        <v>1</v>
      </c>
      <c r="K1397" s="120">
        <v>1</v>
      </c>
      <c r="L1397" s="164">
        <f t="shared" si="107"/>
        <v>0</v>
      </c>
      <c r="M1397" s="111"/>
      <c r="N1397" s="111"/>
    </row>
    <row r="1398" spans="2:14" s="138" customFormat="1" ht="38.25">
      <c r="D1398" s="135" t="s">
        <v>356</v>
      </c>
      <c r="E1398" s="136" t="s">
        <v>370</v>
      </c>
      <c r="F1398" s="202">
        <v>1</v>
      </c>
      <c r="G1398" s="203" t="s">
        <v>4</v>
      </c>
      <c r="H1398" s="168"/>
      <c r="I1398" s="168"/>
      <c r="J1398" s="168"/>
      <c r="K1398" s="168"/>
      <c r="L1398" s="193">
        <f>SUM(L1399:L1403)</f>
        <v>7040.6</v>
      </c>
      <c r="M1398" s="168"/>
      <c r="N1398" s="168"/>
    </row>
    <row r="1399" spans="2:14">
      <c r="B1399" s="106">
        <v>1159</v>
      </c>
      <c r="C1399" s="117">
        <v>129</v>
      </c>
      <c r="D1399" s="55"/>
      <c r="E1399" s="55"/>
      <c r="F1399" s="55"/>
      <c r="G1399" s="119" t="s">
        <v>466</v>
      </c>
      <c r="H1399" s="120">
        <v>3520.3</v>
      </c>
      <c r="I1399" s="119">
        <v>1</v>
      </c>
      <c r="J1399" s="119">
        <v>1</v>
      </c>
      <c r="K1399" s="120">
        <v>1</v>
      </c>
      <c r="L1399" s="164">
        <f>H1399*I1399*J1399*K1399</f>
        <v>3520.3</v>
      </c>
      <c r="M1399" s="111"/>
      <c r="N1399" s="111"/>
    </row>
    <row r="1400" spans="2:14">
      <c r="B1400" s="106">
        <v>1160</v>
      </c>
      <c r="C1400" s="117">
        <v>129</v>
      </c>
      <c r="D1400" s="55"/>
      <c r="E1400" s="55"/>
      <c r="F1400" s="55"/>
      <c r="G1400" s="119" t="s">
        <v>467</v>
      </c>
      <c r="H1400" s="120">
        <v>3520.3</v>
      </c>
      <c r="I1400" s="119">
        <v>1</v>
      </c>
      <c r="J1400" s="119">
        <v>1</v>
      </c>
      <c r="K1400" s="120">
        <v>1</v>
      </c>
      <c r="L1400" s="164">
        <f t="shared" ref="L1400:L1403" si="108">H1400*I1400*J1400*K1400</f>
        <v>3520.3</v>
      </c>
      <c r="M1400" s="111"/>
      <c r="N1400" s="111"/>
    </row>
    <row r="1401" spans="2:14">
      <c r="B1401" s="106">
        <v>1161</v>
      </c>
      <c r="C1401" s="117">
        <v>129</v>
      </c>
      <c r="D1401" s="55"/>
      <c r="E1401" s="55"/>
      <c r="F1401" s="55"/>
      <c r="G1401" s="119" t="s">
        <v>468</v>
      </c>
      <c r="H1401" s="120">
        <v>0</v>
      </c>
      <c r="I1401" s="119">
        <v>1</v>
      </c>
      <c r="J1401" s="119">
        <v>1</v>
      </c>
      <c r="K1401" s="120">
        <v>1</v>
      </c>
      <c r="L1401" s="164">
        <f t="shared" si="108"/>
        <v>0</v>
      </c>
      <c r="M1401" s="111"/>
      <c r="N1401" s="111"/>
    </row>
    <row r="1402" spans="2:14">
      <c r="B1402" s="106">
        <v>1162</v>
      </c>
      <c r="C1402" s="117">
        <v>129</v>
      </c>
      <c r="D1402" s="55"/>
      <c r="E1402" s="55"/>
      <c r="F1402" s="55"/>
      <c r="G1402" s="119" t="s">
        <v>469</v>
      </c>
      <c r="H1402" s="120">
        <v>0</v>
      </c>
      <c r="I1402" s="119">
        <v>1</v>
      </c>
      <c r="J1402" s="119">
        <v>1</v>
      </c>
      <c r="K1402" s="120">
        <v>1</v>
      </c>
      <c r="L1402" s="164">
        <f t="shared" si="108"/>
        <v>0</v>
      </c>
      <c r="M1402" s="111"/>
      <c r="N1402" s="111"/>
    </row>
    <row r="1403" spans="2:14">
      <c r="B1403" s="106">
        <v>1163</v>
      </c>
      <c r="C1403" s="117">
        <v>129</v>
      </c>
      <c r="D1403" s="55"/>
      <c r="E1403" s="55"/>
      <c r="F1403" s="55"/>
      <c r="G1403" s="119" t="s">
        <v>470</v>
      </c>
      <c r="H1403" s="120">
        <v>0</v>
      </c>
      <c r="I1403" s="119">
        <v>1</v>
      </c>
      <c r="J1403" s="119">
        <v>1</v>
      </c>
      <c r="K1403" s="120">
        <v>1</v>
      </c>
      <c r="L1403" s="164">
        <f t="shared" si="108"/>
        <v>0</v>
      </c>
      <c r="M1403" s="111"/>
      <c r="N1403" s="111"/>
    </row>
    <row r="1404" spans="2:14" s="138" customFormat="1" ht="51">
      <c r="D1404" s="135" t="s">
        <v>357</v>
      </c>
      <c r="E1404" s="136" t="s">
        <v>394</v>
      </c>
      <c r="F1404" s="202">
        <v>1</v>
      </c>
      <c r="G1404" s="203" t="s">
        <v>4</v>
      </c>
      <c r="H1404" s="168"/>
      <c r="I1404" s="168"/>
      <c r="J1404" s="168"/>
      <c r="K1404" s="168"/>
      <c r="L1404" s="193">
        <f>SUM(L1410:L1436)</f>
        <v>9538.8791176069535</v>
      </c>
      <c r="M1404" s="168"/>
      <c r="N1404" s="168"/>
    </row>
    <row r="1405" spans="2:14">
      <c r="B1405" s="106">
        <v>1159</v>
      </c>
      <c r="C1405" s="117">
        <v>129</v>
      </c>
      <c r="D1405" s="55"/>
      <c r="E1405" s="55"/>
      <c r="F1405" s="55"/>
      <c r="G1405" s="119" t="s">
        <v>466</v>
      </c>
      <c r="H1405" s="120"/>
      <c r="I1405" s="119"/>
      <c r="J1405" s="119"/>
      <c r="K1405" s="120"/>
      <c r="L1405" s="164">
        <f>H1405*I1405*J1405*K1405</f>
        <v>0</v>
      </c>
      <c r="M1405" s="111"/>
      <c r="N1405" s="111"/>
    </row>
    <row r="1406" spans="2:14">
      <c r="B1406" s="106">
        <v>1160</v>
      </c>
      <c r="C1406" s="117">
        <v>129</v>
      </c>
      <c r="D1406" s="55"/>
      <c r="E1406" s="55"/>
      <c r="F1406" s="55"/>
      <c r="G1406" s="119" t="s">
        <v>467</v>
      </c>
      <c r="H1406" s="120">
        <v>0</v>
      </c>
      <c r="I1406" s="119"/>
      <c r="J1406" s="119"/>
      <c r="K1406" s="120"/>
      <c r="L1406" s="164">
        <f t="shared" ref="L1406:L1409" si="109">H1406*I1406*J1406*K1406</f>
        <v>0</v>
      </c>
      <c r="M1406" s="111"/>
      <c r="N1406" s="111"/>
    </row>
    <row r="1407" spans="2:14">
      <c r="B1407" s="106">
        <v>1161</v>
      </c>
      <c r="C1407" s="117">
        <v>129</v>
      </c>
      <c r="D1407" s="55"/>
      <c r="E1407" s="55"/>
      <c r="F1407" s="55"/>
      <c r="G1407" s="119" t="s">
        <v>468</v>
      </c>
      <c r="H1407" s="120">
        <v>10039.6</v>
      </c>
      <c r="I1407" s="119"/>
      <c r="J1407" s="119"/>
      <c r="K1407" s="120"/>
      <c r="L1407" s="329">
        <f>L1404</f>
        <v>9538.8791176069535</v>
      </c>
      <c r="M1407" s="111"/>
      <c r="N1407" s="111"/>
    </row>
    <row r="1408" spans="2:14">
      <c r="B1408" s="106">
        <v>1162</v>
      </c>
      <c r="C1408" s="117">
        <v>129</v>
      </c>
      <c r="D1408" s="55"/>
      <c r="E1408" s="55"/>
      <c r="F1408" s="55"/>
      <c r="G1408" s="119" t="s">
        <v>469</v>
      </c>
      <c r="H1408" s="120"/>
      <c r="I1408" s="119"/>
      <c r="J1408" s="119"/>
      <c r="K1408" s="120"/>
      <c r="L1408" s="164">
        <f t="shared" si="109"/>
        <v>0</v>
      </c>
      <c r="M1408" s="111"/>
      <c r="N1408" s="111"/>
    </row>
    <row r="1409" spans="1:14">
      <c r="B1409" s="106">
        <v>1163</v>
      </c>
      <c r="C1409" s="117">
        <v>129</v>
      </c>
      <c r="D1409" s="55"/>
      <c r="E1409" s="55"/>
      <c r="F1409" s="55"/>
      <c r="G1409" s="119" t="s">
        <v>470</v>
      </c>
      <c r="H1409" s="120"/>
      <c r="I1409" s="119"/>
      <c r="J1409" s="119"/>
      <c r="K1409" s="120"/>
      <c r="L1409" s="164">
        <f t="shared" si="109"/>
        <v>0</v>
      </c>
      <c r="M1409" s="339"/>
      <c r="N1409" s="111"/>
    </row>
    <row r="1410" spans="1:14" customFormat="1">
      <c r="A1410" s="89"/>
      <c r="B1410" s="320"/>
      <c r="C1410" s="55"/>
      <c r="D1410" s="55"/>
      <c r="E1410" s="55"/>
      <c r="F1410" s="55"/>
      <c r="G1410" s="341" t="s">
        <v>424</v>
      </c>
      <c r="H1410" s="341"/>
      <c r="I1410" s="341"/>
      <c r="J1410" s="341"/>
      <c r="K1410" s="341"/>
      <c r="L1410" s="342">
        <f>+H1410*I1410*J1410*K1410</f>
        <v>0</v>
      </c>
      <c r="M1410" s="2"/>
    </row>
    <row r="1411" spans="1:14" customFormat="1">
      <c r="A1411" s="89"/>
      <c r="B1411" s="320"/>
      <c r="C1411" s="55"/>
      <c r="D1411" s="55"/>
      <c r="E1411" s="55"/>
      <c r="F1411" s="55"/>
      <c r="G1411" s="341" t="s">
        <v>425</v>
      </c>
      <c r="H1411" s="336">
        <v>2000</v>
      </c>
      <c r="I1411" s="341">
        <v>1</v>
      </c>
      <c r="J1411" s="341">
        <v>1</v>
      </c>
      <c r="K1411" s="341">
        <v>1</v>
      </c>
      <c r="L1411" s="342">
        <f t="shared" ref="L1411:L1436" si="110">+H1411*I1411*J1411*K1411</f>
        <v>2000</v>
      </c>
      <c r="M1411" s="2"/>
    </row>
    <row r="1412" spans="1:14" customFormat="1">
      <c r="A1412" s="89"/>
      <c r="B1412" s="320"/>
      <c r="C1412" s="55"/>
      <c r="D1412" s="55"/>
      <c r="E1412" s="55"/>
      <c r="F1412" s="55"/>
      <c r="G1412" s="316" t="s">
        <v>426</v>
      </c>
      <c r="H1412" s="336">
        <v>38</v>
      </c>
      <c r="I1412" s="341">
        <v>1</v>
      </c>
      <c r="J1412" s="341">
        <v>4</v>
      </c>
      <c r="K1412" s="341">
        <v>1</v>
      </c>
      <c r="L1412" s="342">
        <f t="shared" si="110"/>
        <v>152</v>
      </c>
      <c r="M1412" s="2"/>
    </row>
    <row r="1413" spans="1:14" customFormat="1">
      <c r="A1413" s="89"/>
      <c r="B1413" s="320"/>
      <c r="C1413" s="55"/>
      <c r="D1413" s="55"/>
      <c r="E1413" s="55"/>
      <c r="F1413" s="55"/>
      <c r="G1413" s="316" t="s">
        <v>427</v>
      </c>
      <c r="H1413" s="336">
        <v>338</v>
      </c>
      <c r="I1413" s="341">
        <v>1</v>
      </c>
      <c r="J1413" s="341">
        <v>1</v>
      </c>
      <c r="K1413" s="341">
        <v>7</v>
      </c>
      <c r="L1413" s="342">
        <f t="shared" si="110"/>
        <v>2366</v>
      </c>
      <c r="M1413" s="2"/>
    </row>
    <row r="1414" spans="1:14" customFormat="1">
      <c r="A1414" s="89"/>
      <c r="B1414" s="320"/>
      <c r="C1414" s="55"/>
      <c r="D1414" s="55"/>
      <c r="E1414" s="55"/>
      <c r="F1414" s="55"/>
      <c r="G1414" s="316" t="s">
        <v>428</v>
      </c>
      <c r="H1414" s="336">
        <v>0</v>
      </c>
      <c r="I1414" s="341">
        <v>1</v>
      </c>
      <c r="J1414" s="341">
        <v>1</v>
      </c>
      <c r="K1414" s="341">
        <v>1</v>
      </c>
      <c r="L1414" s="342">
        <f t="shared" si="110"/>
        <v>0</v>
      </c>
      <c r="M1414" s="2"/>
    </row>
    <row r="1415" spans="1:14" customFormat="1">
      <c r="A1415" s="89"/>
      <c r="B1415" s="320"/>
      <c r="C1415" s="55"/>
      <c r="D1415" s="55"/>
      <c r="E1415" s="55"/>
      <c r="F1415" s="55"/>
      <c r="G1415" s="341" t="s">
        <v>1100</v>
      </c>
      <c r="H1415" s="341"/>
      <c r="I1415" s="341"/>
      <c r="J1415" s="341"/>
      <c r="K1415" s="341"/>
      <c r="L1415" s="342">
        <f t="shared" si="110"/>
        <v>0</v>
      </c>
      <c r="M1415" s="2"/>
    </row>
    <row r="1416" spans="1:14" customFormat="1">
      <c r="A1416" s="89"/>
      <c r="B1416" s="320"/>
      <c r="C1416" s="55"/>
      <c r="D1416" s="55"/>
      <c r="E1416" s="55"/>
      <c r="F1416" s="55"/>
      <c r="G1416" s="316" t="s">
        <v>429</v>
      </c>
      <c r="H1416" s="317">
        <v>4</v>
      </c>
      <c r="I1416" s="336">
        <v>28</v>
      </c>
      <c r="J1416" s="337">
        <v>1</v>
      </c>
      <c r="K1416" s="336">
        <v>5</v>
      </c>
      <c r="L1416" s="342">
        <f t="shared" si="110"/>
        <v>560</v>
      </c>
      <c r="M1416" s="2"/>
    </row>
    <row r="1417" spans="1:14" customFormat="1">
      <c r="A1417" s="89"/>
      <c r="B1417" s="320"/>
      <c r="C1417" s="55"/>
      <c r="D1417" s="55"/>
      <c r="E1417" s="55"/>
      <c r="F1417" s="55"/>
      <c r="G1417" s="316" t="s">
        <v>430</v>
      </c>
      <c r="H1417" s="317">
        <v>8</v>
      </c>
      <c r="I1417" s="336">
        <v>28</v>
      </c>
      <c r="J1417" s="337">
        <v>1</v>
      </c>
      <c r="K1417" s="336">
        <v>5</v>
      </c>
      <c r="L1417" s="342">
        <f t="shared" si="110"/>
        <v>1120</v>
      </c>
      <c r="M1417" s="2"/>
    </row>
    <row r="1418" spans="1:14" customFormat="1" ht="24">
      <c r="A1418" s="89"/>
      <c r="B1418" s="320"/>
      <c r="C1418" s="55"/>
      <c r="D1418" s="55"/>
      <c r="E1418" s="55"/>
      <c r="F1418" s="55"/>
      <c r="G1418" s="316" t="s">
        <v>431</v>
      </c>
      <c r="H1418" s="317">
        <v>10</v>
      </c>
      <c r="I1418" s="336">
        <v>25</v>
      </c>
      <c r="J1418" s="337">
        <v>1</v>
      </c>
      <c r="K1418" s="336">
        <v>5</v>
      </c>
      <c r="L1418" s="342">
        <f t="shared" si="110"/>
        <v>1250</v>
      </c>
      <c r="M1418" s="2"/>
    </row>
    <row r="1419" spans="1:14" customFormat="1">
      <c r="A1419" s="89"/>
      <c r="B1419" s="320"/>
      <c r="C1419" s="55"/>
      <c r="D1419" s="55"/>
      <c r="E1419" s="55"/>
      <c r="F1419" s="55"/>
      <c r="G1419" s="316" t="s">
        <v>432</v>
      </c>
      <c r="H1419" s="317">
        <v>8</v>
      </c>
      <c r="I1419" s="336">
        <v>1</v>
      </c>
      <c r="J1419" s="337">
        <v>1</v>
      </c>
      <c r="K1419" s="336">
        <v>5</v>
      </c>
      <c r="L1419" s="342">
        <f t="shared" si="110"/>
        <v>40</v>
      </c>
      <c r="M1419" s="2"/>
    </row>
    <row r="1420" spans="1:14" customFormat="1">
      <c r="A1420" s="89"/>
      <c r="B1420" s="320"/>
      <c r="C1420" s="55"/>
      <c r="D1420" s="55"/>
      <c r="E1420" s="55"/>
      <c r="F1420" s="55"/>
      <c r="G1420" s="316" t="s">
        <v>433</v>
      </c>
      <c r="H1420" s="317">
        <v>10</v>
      </c>
      <c r="I1420" s="336">
        <v>1</v>
      </c>
      <c r="J1420" s="337">
        <v>1</v>
      </c>
      <c r="K1420" s="336">
        <v>5</v>
      </c>
      <c r="L1420" s="342">
        <f t="shared" si="110"/>
        <v>50</v>
      </c>
      <c r="M1420" s="2"/>
    </row>
    <row r="1421" spans="1:14" customFormat="1">
      <c r="A1421" s="89"/>
      <c r="B1421" s="320"/>
      <c r="C1421" s="55"/>
      <c r="D1421" s="55"/>
      <c r="E1421" s="55"/>
      <c r="F1421" s="55"/>
      <c r="G1421" s="316" t="s">
        <v>434</v>
      </c>
      <c r="H1421" s="317">
        <v>10</v>
      </c>
      <c r="I1421" s="336">
        <v>25</v>
      </c>
      <c r="J1421" s="337">
        <v>1</v>
      </c>
      <c r="K1421" s="336">
        <v>1</v>
      </c>
      <c r="L1421" s="342">
        <f t="shared" si="110"/>
        <v>250</v>
      </c>
      <c r="M1421" s="2"/>
    </row>
    <row r="1422" spans="1:14" customFormat="1">
      <c r="A1422" s="89"/>
      <c r="B1422" s="320"/>
      <c r="C1422" s="55"/>
      <c r="D1422" s="55"/>
      <c r="E1422" s="55"/>
      <c r="F1422" s="55"/>
      <c r="G1422" s="316" t="s">
        <v>435</v>
      </c>
      <c r="H1422" s="317">
        <v>70</v>
      </c>
      <c r="I1422" s="336">
        <v>1</v>
      </c>
      <c r="J1422" s="337">
        <v>1</v>
      </c>
      <c r="K1422" s="336">
        <v>5</v>
      </c>
      <c r="L1422" s="342">
        <f t="shared" si="110"/>
        <v>350</v>
      </c>
      <c r="M1422" s="2"/>
    </row>
    <row r="1423" spans="1:14" customFormat="1">
      <c r="A1423" s="89"/>
      <c r="B1423" s="320"/>
      <c r="C1423" s="55"/>
      <c r="D1423" s="55"/>
      <c r="E1423" s="55"/>
      <c r="F1423" s="55"/>
      <c r="G1423" s="316" t="s">
        <v>436</v>
      </c>
      <c r="H1423" s="343">
        <v>0.83677340176280268</v>
      </c>
      <c r="I1423" s="336">
        <v>1</v>
      </c>
      <c r="J1423" s="337">
        <v>1</v>
      </c>
      <c r="K1423" s="336">
        <v>1</v>
      </c>
      <c r="L1423" s="342">
        <f t="shared" si="110"/>
        <v>0.83677340176280268</v>
      </c>
      <c r="M1423" s="2"/>
    </row>
    <row r="1424" spans="1:14" customFormat="1">
      <c r="A1424" s="89"/>
      <c r="B1424" s="320"/>
      <c r="C1424" s="55"/>
      <c r="D1424" s="55"/>
      <c r="E1424" s="55"/>
      <c r="F1424" s="55"/>
      <c r="G1424" s="316" t="s">
        <v>437</v>
      </c>
      <c r="H1424" s="343">
        <v>32.913087136003568</v>
      </c>
      <c r="I1424" s="336">
        <v>1</v>
      </c>
      <c r="J1424" s="337">
        <v>1</v>
      </c>
      <c r="K1424" s="336">
        <v>1</v>
      </c>
      <c r="L1424" s="342">
        <f t="shared" si="110"/>
        <v>32.913087136003568</v>
      </c>
      <c r="M1424" s="2"/>
    </row>
    <row r="1425" spans="1:14" customFormat="1">
      <c r="A1425" s="89"/>
      <c r="B1425" s="320"/>
      <c r="C1425" s="55"/>
      <c r="D1425" s="55"/>
      <c r="E1425" s="55"/>
      <c r="F1425" s="55"/>
      <c r="G1425" s="316" t="s">
        <v>438</v>
      </c>
      <c r="H1425" s="343">
        <v>1.3946223362713377</v>
      </c>
      <c r="I1425" s="336">
        <v>1</v>
      </c>
      <c r="J1425" s="337">
        <v>1</v>
      </c>
      <c r="K1425" s="336">
        <v>1</v>
      </c>
      <c r="L1425" s="342">
        <f t="shared" si="110"/>
        <v>1.3946223362713377</v>
      </c>
      <c r="M1425" s="2"/>
    </row>
    <row r="1426" spans="1:14" customFormat="1">
      <c r="A1426" s="89"/>
      <c r="B1426" s="320"/>
      <c r="C1426" s="55"/>
      <c r="D1426" s="55"/>
      <c r="E1426" s="55"/>
      <c r="F1426" s="55"/>
      <c r="G1426" s="316" t="s">
        <v>439</v>
      </c>
      <c r="H1426" s="343">
        <v>71.440923797835552</v>
      </c>
      <c r="I1426" s="336">
        <v>1</v>
      </c>
      <c r="J1426" s="337">
        <v>1</v>
      </c>
      <c r="K1426" s="336">
        <v>7</v>
      </c>
      <c r="L1426" s="342">
        <f t="shared" si="110"/>
        <v>500.08646658484884</v>
      </c>
      <c r="M1426" s="2"/>
    </row>
    <row r="1427" spans="1:14" customFormat="1">
      <c r="A1427" s="89"/>
      <c r="B1427" s="320"/>
      <c r="C1427" s="55"/>
      <c r="D1427" s="55"/>
      <c r="E1427" s="55"/>
      <c r="F1427" s="55"/>
      <c r="G1427" s="316" t="s">
        <v>440</v>
      </c>
      <c r="H1427" s="343">
        <v>273.66032578377775</v>
      </c>
      <c r="I1427" s="336">
        <v>1</v>
      </c>
      <c r="J1427" s="337">
        <v>1</v>
      </c>
      <c r="K1427" s="336">
        <v>1</v>
      </c>
      <c r="L1427" s="342">
        <f t="shared" si="110"/>
        <v>273.66032578377775</v>
      </c>
      <c r="M1427" s="2"/>
    </row>
    <row r="1428" spans="1:14" customFormat="1">
      <c r="A1428" s="89"/>
      <c r="B1428" s="320"/>
      <c r="C1428" s="55"/>
      <c r="D1428" s="55"/>
      <c r="E1428" s="55"/>
      <c r="F1428" s="55"/>
      <c r="G1428" s="344" t="s">
        <v>441</v>
      </c>
      <c r="H1428" s="317"/>
      <c r="I1428" s="336"/>
      <c r="J1428" s="337"/>
      <c r="K1428" s="336"/>
      <c r="L1428" s="342">
        <f t="shared" si="110"/>
        <v>0</v>
      </c>
      <c r="M1428" s="2"/>
    </row>
    <row r="1429" spans="1:14" customFormat="1">
      <c r="A1429" s="89"/>
      <c r="B1429" s="320"/>
      <c r="C1429" s="55"/>
      <c r="D1429" s="55"/>
      <c r="E1429" s="55"/>
      <c r="F1429" s="55"/>
      <c r="G1429" s="316" t="s">
        <v>442</v>
      </c>
      <c r="H1429" s="317">
        <v>6</v>
      </c>
      <c r="I1429" s="336">
        <v>35</v>
      </c>
      <c r="J1429" s="337">
        <v>1</v>
      </c>
      <c r="K1429" s="336">
        <v>1</v>
      </c>
      <c r="L1429" s="342">
        <f t="shared" si="110"/>
        <v>210</v>
      </c>
      <c r="M1429" s="2"/>
    </row>
    <row r="1430" spans="1:14" customFormat="1">
      <c r="A1430" s="89"/>
      <c r="B1430" s="320"/>
      <c r="C1430" s="55"/>
      <c r="D1430" s="55"/>
      <c r="E1430" s="55"/>
      <c r="F1430" s="55"/>
      <c r="G1430" s="316" t="s">
        <v>435</v>
      </c>
      <c r="H1430" s="317">
        <v>33.470936070512103</v>
      </c>
      <c r="I1430" s="336">
        <v>1</v>
      </c>
      <c r="J1430" s="337">
        <v>1</v>
      </c>
      <c r="K1430" s="336">
        <v>1</v>
      </c>
      <c r="L1430" s="342">
        <f t="shared" si="110"/>
        <v>33.470936070512103</v>
      </c>
      <c r="M1430" s="2"/>
    </row>
    <row r="1431" spans="1:14" customFormat="1">
      <c r="A1431" s="89"/>
      <c r="B1431" s="320"/>
      <c r="C1431" s="55"/>
      <c r="D1431" s="55"/>
      <c r="E1431" s="55"/>
      <c r="F1431" s="55"/>
      <c r="G1431" s="316" t="s">
        <v>443</v>
      </c>
      <c r="H1431" s="346">
        <v>6.1363382795938861</v>
      </c>
      <c r="I1431" s="345">
        <f>(25*35)/500</f>
        <v>1.75</v>
      </c>
      <c r="J1431" s="337">
        <v>1</v>
      </c>
      <c r="K1431" s="336">
        <v>1</v>
      </c>
      <c r="L1431" s="342">
        <f t="shared" si="110"/>
        <v>10.738591989289301</v>
      </c>
      <c r="M1431" s="2"/>
    </row>
    <row r="1432" spans="1:14" customFormat="1">
      <c r="A1432" s="89"/>
      <c r="B1432" s="320"/>
      <c r="C1432" s="55"/>
      <c r="D1432" s="55"/>
      <c r="E1432" s="55"/>
      <c r="F1432" s="55"/>
      <c r="G1432" s="316" t="s">
        <v>444</v>
      </c>
      <c r="H1432" s="317">
        <f>20000/18000</f>
        <v>1.1111111111111112</v>
      </c>
      <c r="I1432" s="336">
        <v>35</v>
      </c>
      <c r="J1432" s="337">
        <v>1</v>
      </c>
      <c r="K1432" s="336">
        <v>1</v>
      </c>
      <c r="L1432" s="342">
        <f t="shared" si="110"/>
        <v>38.888888888888893</v>
      </c>
      <c r="M1432" s="2"/>
    </row>
    <row r="1433" spans="1:14" customFormat="1">
      <c r="A1433" s="89"/>
      <c r="B1433" s="320"/>
      <c r="C1433" s="55"/>
      <c r="D1433" s="55"/>
      <c r="E1433" s="55"/>
      <c r="F1433" s="55"/>
      <c r="G1433" s="316" t="s">
        <v>445</v>
      </c>
      <c r="H1433" s="317">
        <v>0.55784893450853512</v>
      </c>
      <c r="I1433" s="336">
        <v>70</v>
      </c>
      <c r="J1433" s="337">
        <v>1</v>
      </c>
      <c r="K1433" s="336">
        <v>1</v>
      </c>
      <c r="L1433" s="342">
        <f t="shared" si="110"/>
        <v>39.049425415597462</v>
      </c>
      <c r="M1433" s="2"/>
    </row>
    <row r="1434" spans="1:14" customFormat="1" ht="24">
      <c r="A1434" s="89"/>
      <c r="B1434" s="320"/>
      <c r="C1434" s="55"/>
      <c r="D1434" s="55"/>
      <c r="E1434" s="55"/>
      <c r="F1434" s="55"/>
      <c r="G1434" s="316" t="s">
        <v>1101</v>
      </c>
      <c r="H1434" s="317">
        <v>167</v>
      </c>
      <c r="I1434" s="336">
        <v>1</v>
      </c>
      <c r="J1434" s="337">
        <v>1</v>
      </c>
      <c r="K1434" s="336">
        <v>1</v>
      </c>
      <c r="L1434" s="342">
        <f t="shared" si="110"/>
        <v>167</v>
      </c>
      <c r="M1434" s="2"/>
    </row>
    <row r="1435" spans="1:14" customFormat="1">
      <c r="A1435" s="89"/>
      <c r="B1435" s="320"/>
      <c r="C1435" s="55"/>
      <c r="D1435" s="55"/>
      <c r="E1435" s="55"/>
      <c r="F1435" s="55"/>
      <c r="G1435" s="344" t="s">
        <v>446</v>
      </c>
      <c r="H1435" s="317">
        <v>16.670000000000002</v>
      </c>
      <c r="I1435" s="336">
        <v>2</v>
      </c>
      <c r="J1435" s="337">
        <v>1</v>
      </c>
      <c r="K1435" s="336">
        <v>1</v>
      </c>
      <c r="L1435" s="342">
        <f t="shared" si="110"/>
        <v>33.340000000000003</v>
      </c>
      <c r="M1435" s="2"/>
    </row>
    <row r="1436" spans="1:14" customFormat="1">
      <c r="A1436" s="89"/>
      <c r="B1436" s="320"/>
      <c r="C1436" s="55"/>
      <c r="D1436" s="55"/>
      <c r="E1436" s="55"/>
      <c r="F1436" s="55"/>
      <c r="G1436" s="344" t="s">
        <v>447</v>
      </c>
      <c r="H1436" s="317">
        <v>1.19</v>
      </c>
      <c r="I1436" s="336">
        <v>10</v>
      </c>
      <c r="J1436" s="337">
        <v>1</v>
      </c>
      <c r="K1436" s="336">
        <v>5</v>
      </c>
      <c r="L1436" s="342">
        <f t="shared" si="110"/>
        <v>59.499999999999993</v>
      </c>
      <c r="M1436" s="2"/>
    </row>
    <row r="1437" spans="1:14" s="138" customFormat="1" ht="51">
      <c r="B1437" s="168"/>
      <c r="C1437" s="168"/>
      <c r="D1437" s="135" t="s">
        <v>358</v>
      </c>
      <c r="E1437" s="136" t="s">
        <v>1113</v>
      </c>
      <c r="F1437" s="202">
        <v>1</v>
      </c>
      <c r="G1437" s="203" t="s">
        <v>4</v>
      </c>
      <c r="H1437" s="168"/>
      <c r="I1437" s="168"/>
      <c r="J1437" s="168"/>
      <c r="K1437" s="168"/>
      <c r="L1437" s="193">
        <f>SUM(L1438:L1442)</f>
        <v>103755</v>
      </c>
      <c r="M1437" s="340"/>
      <c r="N1437" s="168"/>
    </row>
    <row r="1438" spans="1:14">
      <c r="B1438" s="106">
        <v>1159</v>
      </c>
      <c r="C1438" s="117">
        <v>129</v>
      </c>
      <c r="D1438" s="55"/>
      <c r="E1438" s="55"/>
      <c r="F1438" s="55"/>
      <c r="G1438" s="119" t="s">
        <v>466</v>
      </c>
      <c r="H1438" s="120">
        <v>10778.5</v>
      </c>
      <c r="I1438" s="119">
        <v>1</v>
      </c>
      <c r="J1438" s="119">
        <v>1</v>
      </c>
      <c r="K1438" s="120">
        <v>1</v>
      </c>
      <c r="L1438" s="330">
        <f>L1443</f>
        <v>10890</v>
      </c>
      <c r="M1438" s="111"/>
      <c r="N1438" s="111"/>
    </row>
    <row r="1439" spans="1:14">
      <c r="B1439" s="106">
        <v>1160</v>
      </c>
      <c r="C1439" s="117">
        <v>129</v>
      </c>
      <c r="D1439" s="55"/>
      <c r="E1439" s="55"/>
      <c r="F1439" s="55"/>
      <c r="G1439" s="119" t="s">
        <v>467</v>
      </c>
      <c r="H1439" s="120">
        <v>19216</v>
      </c>
      <c r="I1439" s="119">
        <v>1</v>
      </c>
      <c r="J1439" s="119">
        <v>1</v>
      </c>
      <c r="K1439" s="120">
        <v>1</v>
      </c>
      <c r="L1439" s="330">
        <f>L1447</f>
        <v>19327.5</v>
      </c>
      <c r="M1439" s="111"/>
      <c r="N1439" s="111"/>
    </row>
    <row r="1440" spans="1:14">
      <c r="B1440" s="106">
        <v>1161</v>
      </c>
      <c r="C1440" s="117">
        <v>129</v>
      </c>
      <c r="D1440" s="55"/>
      <c r="E1440" s="55"/>
      <c r="F1440" s="55"/>
      <c r="G1440" s="119" t="s">
        <v>468</v>
      </c>
      <c r="H1440" s="120">
        <v>24500</v>
      </c>
      <c r="I1440" s="119">
        <v>1</v>
      </c>
      <c r="J1440" s="119">
        <v>1</v>
      </c>
      <c r="K1440" s="120">
        <v>1</v>
      </c>
      <c r="L1440" s="330">
        <f>L1451</f>
        <v>24512.5</v>
      </c>
      <c r="M1440" s="111"/>
      <c r="N1440" s="111"/>
    </row>
    <row r="1441" spans="1:15">
      <c r="B1441" s="106">
        <v>1162</v>
      </c>
      <c r="C1441" s="117">
        <v>129</v>
      </c>
      <c r="D1441" s="55"/>
      <c r="E1441" s="55"/>
      <c r="F1441" s="55"/>
      <c r="G1441" s="119" t="s">
        <v>469</v>
      </c>
      <c r="H1441" s="120">
        <v>24500</v>
      </c>
      <c r="I1441" s="119">
        <v>1</v>
      </c>
      <c r="J1441" s="119">
        <v>1</v>
      </c>
      <c r="K1441" s="120">
        <v>1</v>
      </c>
      <c r="L1441" s="330">
        <f>L1455</f>
        <v>24512.5</v>
      </c>
      <c r="M1441" s="111"/>
      <c r="N1441" s="111"/>
    </row>
    <row r="1442" spans="1:15" ht="15.75" thickBot="1">
      <c r="B1442" s="106">
        <v>1163</v>
      </c>
      <c r="C1442" s="117">
        <v>129</v>
      </c>
      <c r="D1442" s="55"/>
      <c r="E1442" s="55"/>
      <c r="F1442" s="55"/>
      <c r="G1442" s="119" t="s">
        <v>470</v>
      </c>
      <c r="H1442" s="120">
        <v>24500</v>
      </c>
      <c r="I1442" s="119">
        <v>1</v>
      </c>
      <c r="J1442" s="119">
        <v>1</v>
      </c>
      <c r="K1442" s="120">
        <v>1</v>
      </c>
      <c r="L1442" s="330">
        <f>L1459</f>
        <v>24512.5</v>
      </c>
      <c r="M1442" s="111"/>
      <c r="N1442" s="111"/>
    </row>
    <row r="1443" spans="1:15" customFormat="1">
      <c r="A1443" s="89"/>
      <c r="B1443" s="364"/>
      <c r="C1443" s="55"/>
      <c r="D1443" s="55"/>
      <c r="E1443" s="55"/>
      <c r="F1443" s="55"/>
      <c r="G1443" s="323" t="s">
        <v>466</v>
      </c>
      <c r="H1443" s="361"/>
      <c r="I1443" s="361"/>
      <c r="J1443" s="361"/>
      <c r="K1443" s="361"/>
      <c r="L1443" s="362">
        <f>SUM(L1444:L1446)</f>
        <v>10890</v>
      </c>
      <c r="M1443" s="360">
        <f>SUM(L1444:L1446)</f>
        <v>10890</v>
      </c>
      <c r="N1443" s="2"/>
      <c r="O1443" s="2"/>
    </row>
    <row r="1444" spans="1:15" customFormat="1">
      <c r="A1444" s="89"/>
      <c r="B1444" s="365"/>
      <c r="C1444" s="55"/>
      <c r="D1444" s="55"/>
      <c r="E1444" s="55"/>
      <c r="F1444" s="55"/>
      <c r="G1444" s="366" t="s">
        <v>1109</v>
      </c>
      <c r="H1444" s="324">
        <v>7.5</v>
      </c>
      <c r="I1444" s="363">
        <f>11*25*5</f>
        <v>1375</v>
      </c>
      <c r="J1444" s="363">
        <v>1</v>
      </c>
      <c r="K1444" s="363">
        <v>1</v>
      </c>
      <c r="L1444" s="328">
        <f>+H1444*I1444*J1444*K1444</f>
        <v>10312.5</v>
      </c>
      <c r="N1444" s="2"/>
      <c r="O1444" s="2"/>
    </row>
    <row r="1445" spans="1:15" customFormat="1">
      <c r="A1445" s="89"/>
      <c r="B1445" s="365"/>
      <c r="C1445" s="55"/>
      <c r="D1445" s="55"/>
      <c r="E1445" s="55"/>
      <c r="F1445" s="55"/>
      <c r="G1445" s="366" t="s">
        <v>1110</v>
      </c>
      <c r="H1445" s="324">
        <v>0.5</v>
      </c>
      <c r="I1445" s="363">
        <v>275</v>
      </c>
      <c r="J1445" s="363">
        <v>1</v>
      </c>
      <c r="K1445" s="363">
        <v>1</v>
      </c>
      <c r="L1445" s="328">
        <f t="shared" ref="L1445:L1446" si="111">+H1445*I1445*J1445*K1445</f>
        <v>137.5</v>
      </c>
      <c r="N1445" s="2"/>
      <c r="O1445" s="2"/>
    </row>
    <row r="1446" spans="1:15" customFormat="1" ht="15.75" thickBot="1">
      <c r="A1446" s="89"/>
      <c r="B1446" s="365"/>
      <c r="C1446" s="55"/>
      <c r="D1446" s="55"/>
      <c r="E1446" s="55"/>
      <c r="F1446" s="55"/>
      <c r="G1446" s="323" t="s">
        <v>1111</v>
      </c>
      <c r="H1446" s="324">
        <v>55</v>
      </c>
      <c r="I1446" s="363">
        <v>8</v>
      </c>
      <c r="J1446" s="363">
        <v>1</v>
      </c>
      <c r="K1446" s="363">
        <v>1</v>
      </c>
      <c r="L1446" s="328">
        <f t="shared" si="111"/>
        <v>440</v>
      </c>
      <c r="N1446" s="2"/>
      <c r="O1446" s="2"/>
    </row>
    <row r="1447" spans="1:15" customFormat="1">
      <c r="A1447" s="89"/>
      <c r="B1447" s="365"/>
      <c r="C1447" s="55"/>
      <c r="D1447" s="55"/>
      <c r="E1447" s="55"/>
      <c r="F1447" s="55"/>
      <c r="G1447" s="320" t="s">
        <v>467</v>
      </c>
      <c r="H1447" s="324"/>
      <c r="I1447" s="363"/>
      <c r="J1447" s="363"/>
      <c r="K1447" s="363"/>
      <c r="L1447" s="362">
        <f>SUM(L1448:L1450)</f>
        <v>19327.5</v>
      </c>
      <c r="M1447" s="360">
        <f>SUM(L1448:L1450)</f>
        <v>19327.5</v>
      </c>
      <c r="N1447" s="2"/>
      <c r="O1447" s="2"/>
    </row>
    <row r="1448" spans="1:15" customFormat="1">
      <c r="A1448" s="89"/>
      <c r="B1448" s="365"/>
      <c r="C1448" s="55"/>
      <c r="D1448" s="55"/>
      <c r="E1448" s="55"/>
      <c r="F1448" s="55"/>
      <c r="G1448" s="366" t="s">
        <v>1109</v>
      </c>
      <c r="H1448" s="324">
        <v>7.5</v>
      </c>
      <c r="I1448" s="363">
        <f>20*25*5</f>
        <v>2500</v>
      </c>
      <c r="J1448" s="363">
        <v>1</v>
      </c>
      <c r="K1448" s="363">
        <v>1</v>
      </c>
      <c r="L1448" s="328">
        <f t="shared" ref="L1448:L1454" si="112">+H1448*I1448*J1448*K1448</f>
        <v>18750</v>
      </c>
      <c r="N1448" s="2"/>
      <c r="O1448" s="2"/>
    </row>
    <row r="1449" spans="1:15" customFormat="1">
      <c r="A1449" s="89"/>
      <c r="B1449" s="365"/>
      <c r="C1449" s="55"/>
      <c r="D1449" s="55"/>
      <c r="E1449" s="55"/>
      <c r="F1449" s="55"/>
      <c r="G1449" s="366" t="s">
        <v>1110</v>
      </c>
      <c r="H1449" s="324">
        <v>0.5</v>
      </c>
      <c r="I1449" s="363">
        <v>275</v>
      </c>
      <c r="J1449" s="363">
        <v>1</v>
      </c>
      <c r="K1449" s="363">
        <v>1</v>
      </c>
      <c r="L1449" s="328">
        <f t="shared" si="112"/>
        <v>137.5</v>
      </c>
      <c r="N1449" s="2"/>
      <c r="O1449" s="2"/>
    </row>
    <row r="1450" spans="1:15" customFormat="1" ht="15.75" thickBot="1">
      <c r="A1450" s="89"/>
      <c r="B1450" s="365"/>
      <c r="C1450" s="55"/>
      <c r="D1450" s="55"/>
      <c r="E1450" s="55"/>
      <c r="F1450" s="55"/>
      <c r="G1450" s="323" t="s">
        <v>1111</v>
      </c>
      <c r="H1450" s="324">
        <v>55</v>
      </c>
      <c r="I1450" s="363">
        <v>8</v>
      </c>
      <c r="J1450" s="363">
        <v>1</v>
      </c>
      <c r="K1450" s="363">
        <v>1</v>
      </c>
      <c r="L1450" s="328">
        <f t="shared" si="112"/>
        <v>440</v>
      </c>
      <c r="N1450" s="2"/>
      <c r="O1450" s="2"/>
    </row>
    <row r="1451" spans="1:15" customFormat="1">
      <c r="A1451" s="89"/>
      <c r="B1451" s="365"/>
      <c r="C1451" s="55"/>
      <c r="D1451" s="55"/>
      <c r="E1451" s="55"/>
      <c r="F1451" s="55"/>
      <c r="G1451" s="320" t="s">
        <v>468</v>
      </c>
      <c r="H1451" s="324"/>
      <c r="I1451" s="363"/>
      <c r="J1451" s="363"/>
      <c r="K1451" s="363"/>
      <c r="L1451" s="362">
        <f>SUM(L1452:L1454)</f>
        <v>24512.5</v>
      </c>
      <c r="M1451" s="360">
        <f>SUM(L1452:L1454)</f>
        <v>24512.5</v>
      </c>
      <c r="N1451" s="2"/>
      <c r="O1451" s="2"/>
    </row>
    <row r="1452" spans="1:15" customFormat="1">
      <c r="A1452" s="89"/>
      <c r="B1452" s="365"/>
      <c r="C1452" s="55"/>
      <c r="D1452" s="55"/>
      <c r="E1452" s="55"/>
      <c r="F1452" s="55"/>
      <c r="G1452" s="366" t="s">
        <v>1109</v>
      </c>
      <c r="H1452" s="324">
        <v>7.5</v>
      </c>
      <c r="I1452" s="363">
        <f>26*25*5</f>
        <v>3250</v>
      </c>
      <c r="J1452" s="363">
        <v>1</v>
      </c>
      <c r="K1452" s="363">
        <v>1</v>
      </c>
      <c r="L1452" s="328">
        <f t="shared" si="112"/>
        <v>24375</v>
      </c>
      <c r="N1452" s="2"/>
      <c r="O1452" s="2"/>
    </row>
    <row r="1453" spans="1:15" customFormat="1">
      <c r="A1453" s="89"/>
      <c r="B1453" s="365"/>
      <c r="C1453" s="55"/>
      <c r="D1453" s="55"/>
      <c r="E1453" s="55"/>
      <c r="F1453" s="55"/>
      <c r="G1453" s="366" t="s">
        <v>1110</v>
      </c>
      <c r="H1453" s="324">
        <v>0.5</v>
      </c>
      <c r="I1453" s="363">
        <v>275</v>
      </c>
      <c r="J1453" s="363">
        <v>1</v>
      </c>
      <c r="K1453" s="363">
        <v>1</v>
      </c>
      <c r="L1453" s="328">
        <f t="shared" si="112"/>
        <v>137.5</v>
      </c>
      <c r="N1453" s="2"/>
      <c r="O1453" s="2"/>
    </row>
    <row r="1454" spans="1:15" customFormat="1" ht="15.75" thickBot="1">
      <c r="A1454" s="89"/>
      <c r="B1454" s="365"/>
      <c r="C1454" s="55"/>
      <c r="D1454" s="55"/>
      <c r="E1454" s="55"/>
      <c r="F1454" s="55"/>
      <c r="G1454" s="323" t="s">
        <v>1111</v>
      </c>
      <c r="H1454" s="324">
        <v>55</v>
      </c>
      <c r="I1454" s="363">
        <v>0</v>
      </c>
      <c r="J1454" s="363">
        <v>1</v>
      </c>
      <c r="K1454" s="363">
        <v>1</v>
      </c>
      <c r="L1454" s="328">
        <f t="shared" si="112"/>
        <v>0</v>
      </c>
      <c r="N1454" s="2"/>
      <c r="O1454" s="2"/>
    </row>
    <row r="1455" spans="1:15" customFormat="1">
      <c r="A1455" s="89"/>
      <c r="B1455" s="365"/>
      <c r="C1455" s="55"/>
      <c r="D1455" s="55"/>
      <c r="E1455" s="55"/>
      <c r="F1455" s="55"/>
      <c r="G1455" s="320" t="s">
        <v>469</v>
      </c>
      <c r="H1455" s="324"/>
      <c r="I1455" s="363"/>
      <c r="J1455" s="363"/>
      <c r="K1455" s="363"/>
      <c r="L1455" s="362">
        <f>SUM(L1456:L1458)</f>
        <v>24512.5</v>
      </c>
      <c r="M1455" s="360">
        <f>SUM(L1456:L1458)</f>
        <v>24512.5</v>
      </c>
      <c r="N1455" s="2"/>
      <c r="O1455" s="2"/>
    </row>
    <row r="1456" spans="1:15" customFormat="1">
      <c r="A1456" s="89"/>
      <c r="B1456" s="365"/>
      <c r="C1456" s="55"/>
      <c r="D1456" s="55"/>
      <c r="E1456" s="55"/>
      <c r="F1456" s="55"/>
      <c r="G1456" s="366" t="s">
        <v>1109</v>
      </c>
      <c r="H1456" s="324">
        <v>7.5</v>
      </c>
      <c r="I1456" s="363">
        <f>26*25*5</f>
        <v>3250</v>
      </c>
      <c r="J1456" s="363">
        <v>1</v>
      </c>
      <c r="K1456" s="363">
        <v>1</v>
      </c>
      <c r="L1456" s="328">
        <f t="shared" ref="L1456:L1458" si="113">+H1456*I1456*J1456*K1456</f>
        <v>24375</v>
      </c>
      <c r="N1456" s="2"/>
      <c r="O1456" s="2"/>
    </row>
    <row r="1457" spans="1:15" customFormat="1">
      <c r="A1457" s="89"/>
      <c r="B1457" s="365"/>
      <c r="C1457" s="55"/>
      <c r="D1457" s="55"/>
      <c r="E1457" s="55"/>
      <c r="F1457" s="55"/>
      <c r="G1457" s="366" t="s">
        <v>1110</v>
      </c>
      <c r="H1457" s="324">
        <v>0.5</v>
      </c>
      <c r="I1457" s="363">
        <v>275</v>
      </c>
      <c r="J1457" s="363">
        <v>1</v>
      </c>
      <c r="K1457" s="363">
        <v>1</v>
      </c>
      <c r="L1457" s="328">
        <f t="shared" si="113"/>
        <v>137.5</v>
      </c>
      <c r="N1457" s="2"/>
      <c r="O1457" s="2"/>
    </row>
    <row r="1458" spans="1:15" customFormat="1" ht="15.75" thickBot="1">
      <c r="A1458" s="89"/>
      <c r="B1458" s="365"/>
      <c r="C1458" s="55"/>
      <c r="D1458" s="55"/>
      <c r="E1458" s="55"/>
      <c r="F1458" s="55"/>
      <c r="G1458" s="323" t="s">
        <v>1111</v>
      </c>
      <c r="H1458" s="324">
        <v>55</v>
      </c>
      <c r="I1458" s="363">
        <v>0</v>
      </c>
      <c r="J1458" s="363">
        <v>1</v>
      </c>
      <c r="K1458" s="363">
        <v>1</v>
      </c>
      <c r="L1458" s="328">
        <f t="shared" si="113"/>
        <v>0</v>
      </c>
      <c r="N1458" s="2"/>
      <c r="O1458" s="2"/>
    </row>
    <row r="1459" spans="1:15" customFormat="1">
      <c r="A1459" s="89"/>
      <c r="B1459" s="365"/>
      <c r="C1459" s="55"/>
      <c r="D1459" s="55"/>
      <c r="E1459" s="55"/>
      <c r="F1459" s="55"/>
      <c r="G1459" s="320" t="s">
        <v>470</v>
      </c>
      <c r="H1459" s="324"/>
      <c r="I1459" s="363"/>
      <c r="J1459" s="363"/>
      <c r="K1459" s="363"/>
      <c r="L1459" s="362">
        <f>SUM(L1460:L1462)</f>
        <v>24512.5</v>
      </c>
      <c r="M1459" s="360">
        <f>SUM(L1460:L1462)</f>
        <v>24512.5</v>
      </c>
      <c r="N1459" s="2"/>
      <c r="O1459" s="2"/>
    </row>
    <row r="1460" spans="1:15" customFormat="1">
      <c r="A1460" s="89"/>
      <c r="B1460" s="365"/>
      <c r="C1460" s="55"/>
      <c r="D1460" s="55"/>
      <c r="E1460" s="55"/>
      <c r="F1460" s="55"/>
      <c r="G1460" s="366" t="s">
        <v>1109</v>
      </c>
      <c r="H1460" s="324">
        <v>7.5</v>
      </c>
      <c r="I1460" s="363">
        <f>26*25*5</f>
        <v>3250</v>
      </c>
      <c r="J1460" s="363">
        <v>1</v>
      </c>
      <c r="K1460" s="363">
        <v>1</v>
      </c>
      <c r="L1460" s="328">
        <f t="shared" ref="L1460:L1462" si="114">+H1460*I1460*J1460*K1460</f>
        <v>24375</v>
      </c>
      <c r="N1460" s="2"/>
      <c r="O1460" s="2"/>
    </row>
    <row r="1461" spans="1:15" customFormat="1">
      <c r="A1461" s="89"/>
      <c r="B1461" s="365"/>
      <c r="C1461" s="55"/>
      <c r="D1461" s="55"/>
      <c r="E1461" s="55"/>
      <c r="F1461" s="55"/>
      <c r="G1461" s="366" t="s">
        <v>1110</v>
      </c>
      <c r="H1461" s="324">
        <v>0.5</v>
      </c>
      <c r="I1461" s="363">
        <v>275</v>
      </c>
      <c r="J1461" s="363">
        <v>1</v>
      </c>
      <c r="K1461" s="363">
        <v>1</v>
      </c>
      <c r="L1461" s="328">
        <f t="shared" si="114"/>
        <v>137.5</v>
      </c>
      <c r="N1461" s="2"/>
      <c r="O1461" s="2"/>
    </row>
    <row r="1462" spans="1:15" customFormat="1">
      <c r="A1462" s="89"/>
      <c r="B1462" s="365"/>
      <c r="C1462" s="55"/>
      <c r="D1462" s="55"/>
      <c r="E1462" s="55"/>
      <c r="F1462" s="55"/>
      <c r="G1462" s="323" t="s">
        <v>1111</v>
      </c>
      <c r="H1462" s="324">
        <v>55</v>
      </c>
      <c r="I1462" s="363">
        <v>0</v>
      </c>
      <c r="J1462" s="363">
        <v>1</v>
      </c>
      <c r="K1462" s="363">
        <v>1</v>
      </c>
      <c r="L1462" s="328">
        <f t="shared" si="114"/>
        <v>0</v>
      </c>
      <c r="N1462" s="2"/>
      <c r="O1462" s="2"/>
    </row>
    <row r="1463" spans="1:15" s="138" customFormat="1" ht="38.25">
      <c r="C1463" s="168"/>
      <c r="D1463" s="135" t="s">
        <v>359</v>
      </c>
      <c r="E1463" s="136" t="s">
        <v>366</v>
      </c>
      <c r="F1463" s="202">
        <v>1</v>
      </c>
      <c r="G1463" s="203" t="s">
        <v>4</v>
      </c>
      <c r="H1463" s="168"/>
      <c r="I1463" s="168"/>
      <c r="J1463" s="168"/>
      <c r="K1463" s="168"/>
      <c r="L1463" s="193">
        <f>SUM(L1469:L1483)</f>
        <v>33095.055555555555</v>
      </c>
      <c r="M1463" s="168"/>
      <c r="N1463" s="168"/>
    </row>
    <row r="1464" spans="1:15">
      <c r="B1464" s="106">
        <v>1159</v>
      </c>
      <c r="C1464" s="117">
        <v>129</v>
      </c>
      <c r="D1464" s="55"/>
      <c r="E1464" s="55"/>
      <c r="F1464" s="55"/>
      <c r="G1464" s="119" t="s">
        <v>466</v>
      </c>
      <c r="H1464" s="120"/>
      <c r="I1464" s="119">
        <v>1</v>
      </c>
      <c r="J1464" s="119">
        <v>1</v>
      </c>
      <c r="K1464" s="120">
        <v>1</v>
      </c>
      <c r="L1464" s="164">
        <f>H1464*I1464*J1464*K1464</f>
        <v>0</v>
      </c>
      <c r="M1464" s="111"/>
      <c r="N1464" s="111"/>
    </row>
    <row r="1465" spans="1:15">
      <c r="B1465" s="106">
        <v>1160</v>
      </c>
      <c r="C1465" s="117">
        <v>129</v>
      </c>
      <c r="D1465" s="55"/>
      <c r="E1465" s="55"/>
      <c r="F1465" s="55"/>
      <c r="G1465" s="119" t="s">
        <v>467</v>
      </c>
      <c r="H1465" s="120"/>
      <c r="I1465" s="119">
        <v>1</v>
      </c>
      <c r="J1465" s="119">
        <v>1</v>
      </c>
      <c r="K1465" s="120">
        <v>1</v>
      </c>
      <c r="L1465" s="164">
        <f t="shared" ref="L1465:L1468" si="115">H1465*I1465*J1465*K1465</f>
        <v>0</v>
      </c>
      <c r="M1465" s="111"/>
      <c r="N1465" s="111"/>
    </row>
    <row r="1466" spans="1:15">
      <c r="B1466" s="106">
        <v>1161</v>
      </c>
      <c r="C1466" s="117">
        <v>129</v>
      </c>
      <c r="D1466" s="55"/>
      <c r="E1466" s="55"/>
      <c r="F1466" s="55"/>
      <c r="G1466" s="119" t="s">
        <v>468</v>
      </c>
      <c r="H1466" s="120">
        <v>33095.1</v>
      </c>
      <c r="I1466" s="119">
        <v>1</v>
      </c>
      <c r="J1466" s="119">
        <v>1</v>
      </c>
      <c r="K1466" s="120">
        <v>1</v>
      </c>
      <c r="L1466" s="329">
        <f>L1463</f>
        <v>33095.055555555555</v>
      </c>
      <c r="M1466" s="111"/>
      <c r="N1466" s="111"/>
    </row>
    <row r="1467" spans="1:15">
      <c r="B1467" s="106">
        <v>1162</v>
      </c>
      <c r="C1467" s="117">
        <v>129</v>
      </c>
      <c r="D1467" s="55"/>
      <c r="E1467" s="55"/>
      <c r="F1467" s="55"/>
      <c r="G1467" s="119" t="s">
        <v>469</v>
      </c>
      <c r="H1467" s="120">
        <v>33095.1</v>
      </c>
      <c r="I1467" s="119">
        <v>1</v>
      </c>
      <c r="J1467" s="119">
        <v>1</v>
      </c>
      <c r="K1467" s="120">
        <v>1</v>
      </c>
      <c r="L1467" s="329">
        <f>L1463</f>
        <v>33095.055555555555</v>
      </c>
      <c r="M1467" s="111"/>
      <c r="N1467" s="111"/>
    </row>
    <row r="1468" spans="1:15">
      <c r="B1468" s="106">
        <v>1163</v>
      </c>
      <c r="C1468" s="117">
        <v>129</v>
      </c>
      <c r="D1468" s="55"/>
      <c r="E1468" s="55"/>
      <c r="F1468" s="55"/>
      <c r="G1468" s="119" t="s">
        <v>470</v>
      </c>
      <c r="H1468" s="120"/>
      <c r="I1468" s="119">
        <v>1</v>
      </c>
      <c r="J1468" s="119">
        <v>1</v>
      </c>
      <c r="K1468" s="120">
        <v>1</v>
      </c>
      <c r="L1468" s="164">
        <f t="shared" si="115"/>
        <v>0</v>
      </c>
      <c r="M1468" s="111"/>
      <c r="N1468" s="111"/>
    </row>
    <row r="1469" spans="1:15" customFormat="1">
      <c r="A1469" s="89"/>
      <c r="B1469" s="320"/>
      <c r="C1469" s="55"/>
      <c r="D1469" s="55"/>
      <c r="E1469" s="55"/>
      <c r="F1469" s="55"/>
      <c r="G1469" s="316" t="s">
        <v>453</v>
      </c>
      <c r="H1469" s="317">
        <v>25</v>
      </c>
      <c r="I1469" s="332">
        <v>2</v>
      </c>
      <c r="J1469" s="333">
        <v>1</v>
      </c>
      <c r="K1469" s="318">
        <v>15</v>
      </c>
      <c r="L1469" s="319">
        <f t="shared" ref="L1469:L1483" si="116">+H1469*I1469*J1469*K1469</f>
        <v>750</v>
      </c>
    </row>
    <row r="1470" spans="1:15" customFormat="1">
      <c r="A1470" s="89"/>
      <c r="B1470" s="320"/>
      <c r="C1470" s="55"/>
      <c r="D1470" s="55"/>
      <c r="E1470" s="55"/>
      <c r="F1470" s="55"/>
      <c r="G1470" s="316" t="s">
        <v>462</v>
      </c>
      <c r="H1470" s="317">
        <v>25</v>
      </c>
      <c r="I1470" s="332">
        <v>1</v>
      </c>
      <c r="J1470" s="333">
        <v>1</v>
      </c>
      <c r="K1470" s="318">
        <v>15</v>
      </c>
      <c r="L1470" s="319">
        <f t="shared" si="116"/>
        <v>375</v>
      </c>
    </row>
    <row r="1471" spans="1:15" customFormat="1">
      <c r="A1471" s="89"/>
      <c r="B1471" s="320"/>
      <c r="C1471" s="55"/>
      <c r="D1471" s="55"/>
      <c r="E1471" s="55"/>
      <c r="F1471" s="55"/>
      <c r="G1471" s="316" t="s">
        <v>429</v>
      </c>
      <c r="H1471" s="317">
        <v>4</v>
      </c>
      <c r="I1471" s="332">
        <v>75</v>
      </c>
      <c r="J1471" s="333">
        <v>1</v>
      </c>
      <c r="K1471" s="318">
        <v>15</v>
      </c>
      <c r="L1471" s="319">
        <f t="shared" si="116"/>
        <v>4500</v>
      </c>
    </row>
    <row r="1472" spans="1:15" customFormat="1">
      <c r="A1472" s="89"/>
      <c r="B1472" s="320"/>
      <c r="C1472" s="55"/>
      <c r="D1472" s="55"/>
      <c r="E1472" s="55"/>
      <c r="F1472" s="55"/>
      <c r="G1472" s="316" t="s">
        <v>430</v>
      </c>
      <c r="H1472" s="317">
        <v>8</v>
      </c>
      <c r="I1472" s="332">
        <v>75</v>
      </c>
      <c r="J1472" s="333">
        <v>1</v>
      </c>
      <c r="K1472" s="318">
        <v>15</v>
      </c>
      <c r="L1472" s="319">
        <f t="shared" si="116"/>
        <v>9000</v>
      </c>
    </row>
    <row r="1473" spans="1:14" customFormat="1" ht="24">
      <c r="A1473" s="89"/>
      <c r="B1473" s="320"/>
      <c r="C1473" s="55"/>
      <c r="D1473" s="55"/>
      <c r="E1473" s="55"/>
      <c r="F1473" s="55"/>
      <c r="G1473" s="316" t="s">
        <v>431</v>
      </c>
      <c r="H1473" s="317">
        <v>10</v>
      </c>
      <c r="I1473" s="332">
        <v>75</v>
      </c>
      <c r="J1473" s="333">
        <v>1</v>
      </c>
      <c r="K1473" s="318">
        <v>15</v>
      </c>
      <c r="L1473" s="319">
        <f t="shared" si="116"/>
        <v>11250</v>
      </c>
    </row>
    <row r="1474" spans="1:14" customFormat="1">
      <c r="A1474" s="89"/>
      <c r="B1474" s="320"/>
      <c r="C1474" s="55"/>
      <c r="D1474" s="55"/>
      <c r="E1474" s="55"/>
      <c r="F1474" s="55"/>
      <c r="G1474" s="316" t="s">
        <v>432</v>
      </c>
      <c r="H1474" s="317">
        <v>8</v>
      </c>
      <c r="I1474" s="332">
        <v>1</v>
      </c>
      <c r="J1474" s="333">
        <v>1</v>
      </c>
      <c r="K1474" s="318">
        <v>15</v>
      </c>
      <c r="L1474" s="319">
        <f t="shared" si="116"/>
        <v>120</v>
      </c>
    </row>
    <row r="1475" spans="1:14" customFormat="1">
      <c r="A1475" s="89"/>
      <c r="B1475" s="320"/>
      <c r="C1475" s="55"/>
      <c r="D1475" s="55"/>
      <c r="E1475" s="55"/>
      <c r="F1475" s="55"/>
      <c r="G1475" s="316" t="s">
        <v>1117</v>
      </c>
      <c r="H1475" s="317">
        <v>119</v>
      </c>
      <c r="I1475" s="332">
        <v>2</v>
      </c>
      <c r="J1475" s="333">
        <v>1</v>
      </c>
      <c r="K1475" s="318">
        <v>17</v>
      </c>
      <c r="L1475" s="319">
        <f t="shared" si="116"/>
        <v>4046</v>
      </c>
    </row>
    <row r="1476" spans="1:14" customFormat="1">
      <c r="A1476" s="89"/>
      <c r="B1476" s="320"/>
      <c r="C1476" s="55"/>
      <c r="D1476" s="55"/>
      <c r="E1476" s="55"/>
      <c r="F1476" s="55"/>
      <c r="G1476" s="316" t="s">
        <v>434</v>
      </c>
      <c r="H1476" s="317">
        <v>10</v>
      </c>
      <c r="I1476" s="332">
        <v>75</v>
      </c>
      <c r="J1476" s="333">
        <v>1</v>
      </c>
      <c r="K1476" s="318">
        <v>1</v>
      </c>
      <c r="L1476" s="319">
        <f t="shared" si="116"/>
        <v>750</v>
      </c>
    </row>
    <row r="1477" spans="1:14" customFormat="1" ht="24">
      <c r="A1477" s="89"/>
      <c r="B1477" s="320"/>
      <c r="C1477" s="55"/>
      <c r="D1477" s="55"/>
      <c r="E1477" s="55"/>
      <c r="F1477" s="55"/>
      <c r="G1477" s="316" t="s">
        <v>1118</v>
      </c>
      <c r="H1477" s="317">
        <v>260</v>
      </c>
      <c r="I1477" s="332">
        <v>2</v>
      </c>
      <c r="J1477" s="333">
        <v>1</v>
      </c>
      <c r="K1477" s="318">
        <v>1</v>
      </c>
      <c r="L1477" s="319">
        <f t="shared" si="116"/>
        <v>520</v>
      </c>
    </row>
    <row r="1478" spans="1:14" customFormat="1">
      <c r="A1478" s="89"/>
      <c r="B1478" s="320"/>
      <c r="C1478" s="55"/>
      <c r="D1478" s="55"/>
      <c r="E1478" s="55"/>
      <c r="F1478" s="55"/>
      <c r="G1478" s="316" t="s">
        <v>435</v>
      </c>
      <c r="H1478" s="317">
        <v>70</v>
      </c>
      <c r="I1478" s="332">
        <v>1</v>
      </c>
      <c r="J1478" s="333">
        <v>1</v>
      </c>
      <c r="K1478" s="318">
        <v>15</v>
      </c>
      <c r="L1478" s="319">
        <f t="shared" si="116"/>
        <v>1050</v>
      </c>
    </row>
    <row r="1479" spans="1:14" customFormat="1">
      <c r="A1479" s="89"/>
      <c r="B1479" s="320"/>
      <c r="C1479" s="55"/>
      <c r="D1479" s="55"/>
      <c r="E1479" s="55"/>
      <c r="F1479" s="55"/>
      <c r="G1479" s="316" t="s">
        <v>443</v>
      </c>
      <c r="H1479" s="317">
        <f>150000/18000</f>
        <v>8.3333333333333339</v>
      </c>
      <c r="I1479" s="332">
        <v>6</v>
      </c>
      <c r="J1479" s="333">
        <v>1</v>
      </c>
      <c r="K1479" s="318">
        <v>1</v>
      </c>
      <c r="L1479" s="319">
        <f t="shared" si="116"/>
        <v>50</v>
      </c>
    </row>
    <row r="1480" spans="1:14" customFormat="1">
      <c r="A1480" s="89"/>
      <c r="B1480" s="320"/>
      <c r="C1480" s="55"/>
      <c r="D1480" s="55"/>
      <c r="E1480" s="55"/>
      <c r="F1480" s="55"/>
      <c r="G1480" s="316" t="s">
        <v>464</v>
      </c>
      <c r="H1480" s="317">
        <f t="shared" ref="H1480" si="117">5500000/18000</f>
        <v>305.55555555555554</v>
      </c>
      <c r="I1480" s="318">
        <v>1</v>
      </c>
      <c r="J1480" s="333">
        <v>1</v>
      </c>
      <c r="K1480" s="318">
        <v>1</v>
      </c>
      <c r="L1480" s="319">
        <f t="shared" si="116"/>
        <v>305.55555555555554</v>
      </c>
    </row>
    <row r="1481" spans="1:14" customFormat="1">
      <c r="A1481" s="89"/>
      <c r="B1481" s="320"/>
      <c r="C1481" s="55"/>
      <c r="D1481" s="55"/>
      <c r="E1481" s="55"/>
      <c r="F1481" s="55"/>
      <c r="G1481" s="316" t="s">
        <v>465</v>
      </c>
      <c r="H1481" s="317">
        <f t="shared" ref="H1481" si="118">3000000/18000</f>
        <v>166.66666666666666</v>
      </c>
      <c r="I1481" s="318">
        <v>1</v>
      </c>
      <c r="J1481" s="333">
        <v>1</v>
      </c>
      <c r="K1481" s="318">
        <v>1</v>
      </c>
      <c r="L1481" s="319">
        <f t="shared" si="116"/>
        <v>166.66666666666666</v>
      </c>
    </row>
    <row r="1482" spans="1:14" customFormat="1">
      <c r="A1482" s="89"/>
      <c r="B1482" s="320"/>
      <c r="C1482" s="55"/>
      <c r="D1482" s="55"/>
      <c r="E1482" s="55"/>
      <c r="F1482" s="55"/>
      <c r="G1482" s="316" t="s">
        <v>447</v>
      </c>
      <c r="H1482" s="317">
        <v>1.19</v>
      </c>
      <c r="I1482" s="318">
        <v>10</v>
      </c>
      <c r="J1482" s="333">
        <v>1</v>
      </c>
      <c r="K1482" s="318">
        <v>15</v>
      </c>
      <c r="L1482" s="319">
        <f t="shared" si="116"/>
        <v>178.49999999999997</v>
      </c>
    </row>
    <row r="1483" spans="1:14" customFormat="1">
      <c r="A1483" s="89"/>
      <c r="B1483" s="320"/>
      <c r="C1483" s="55"/>
      <c r="D1483" s="55"/>
      <c r="E1483" s="55"/>
      <c r="F1483" s="55"/>
      <c r="G1483" s="316" t="s">
        <v>459</v>
      </c>
      <c r="H1483" s="317">
        <f>300000/18000</f>
        <v>16.666666666666668</v>
      </c>
      <c r="I1483" s="318">
        <v>2</v>
      </c>
      <c r="J1483" s="333">
        <v>1</v>
      </c>
      <c r="K1483" s="318">
        <v>1</v>
      </c>
      <c r="L1483" s="319">
        <f t="shared" si="116"/>
        <v>33.333333333333336</v>
      </c>
    </row>
    <row r="1484" spans="1:14" s="138" customFormat="1" ht="51">
      <c r="D1484" s="367" t="s">
        <v>360</v>
      </c>
      <c r="E1484" s="368" t="s">
        <v>395</v>
      </c>
      <c r="F1484" s="369">
        <v>2</v>
      </c>
      <c r="G1484" s="370" t="s">
        <v>4</v>
      </c>
      <c r="H1484" s="168"/>
      <c r="I1484" s="168"/>
      <c r="J1484" s="168"/>
      <c r="K1484" s="168"/>
      <c r="L1484" s="193">
        <f>SUM(L1485:L1489)</f>
        <v>15000</v>
      </c>
      <c r="M1484" s="168"/>
      <c r="N1484" s="168"/>
    </row>
    <row r="1485" spans="1:14">
      <c r="B1485" s="106">
        <v>1159</v>
      </c>
      <c r="C1485" s="117">
        <v>129</v>
      </c>
      <c r="D1485" s="55"/>
      <c r="E1485" s="55"/>
      <c r="F1485" s="55"/>
      <c r="G1485" s="119" t="s">
        <v>466</v>
      </c>
      <c r="H1485" s="120"/>
      <c r="I1485" s="119">
        <v>1</v>
      </c>
      <c r="J1485" s="119">
        <v>1</v>
      </c>
      <c r="K1485" s="120">
        <v>1</v>
      </c>
      <c r="L1485" s="164">
        <f>H1485*I1485*J1485*K1485</f>
        <v>0</v>
      </c>
      <c r="M1485" s="111"/>
      <c r="N1485" s="111"/>
    </row>
    <row r="1486" spans="1:14">
      <c r="B1486" s="106">
        <v>1160</v>
      </c>
      <c r="C1486" s="117">
        <v>129</v>
      </c>
      <c r="D1486" s="55"/>
      <c r="E1486" s="55"/>
      <c r="F1486" s="55"/>
      <c r="G1486" s="119" t="s">
        <v>467</v>
      </c>
      <c r="H1486" s="120"/>
      <c r="I1486" s="119">
        <v>1</v>
      </c>
      <c r="J1486" s="119">
        <v>1</v>
      </c>
      <c r="K1486" s="120">
        <v>1</v>
      </c>
      <c r="L1486" s="164">
        <f t="shared" ref="L1486:L1489" si="119">H1486*I1486*J1486*K1486</f>
        <v>0</v>
      </c>
      <c r="M1486" s="111"/>
      <c r="N1486" s="111"/>
    </row>
    <row r="1487" spans="1:14">
      <c r="B1487" s="106">
        <v>1161</v>
      </c>
      <c r="C1487" s="117">
        <v>129</v>
      </c>
      <c r="D1487" s="55"/>
      <c r="E1487" s="55"/>
      <c r="F1487" s="55"/>
      <c r="G1487" s="119" t="s">
        <v>468</v>
      </c>
      <c r="H1487" s="120">
        <v>15000</v>
      </c>
      <c r="I1487" s="119">
        <v>1</v>
      </c>
      <c r="J1487" s="119">
        <v>1</v>
      </c>
      <c r="K1487" s="120">
        <v>1</v>
      </c>
      <c r="L1487" s="164">
        <f t="shared" si="119"/>
        <v>15000</v>
      </c>
      <c r="M1487" s="111"/>
      <c r="N1487" s="111"/>
    </row>
    <row r="1488" spans="1:14">
      <c r="B1488" s="106">
        <v>1162</v>
      </c>
      <c r="C1488" s="117">
        <v>129</v>
      </c>
      <c r="D1488" s="55"/>
      <c r="E1488" s="55"/>
      <c r="F1488" s="55"/>
      <c r="G1488" s="119" t="s">
        <v>469</v>
      </c>
      <c r="H1488" s="120"/>
      <c r="I1488" s="119">
        <v>1</v>
      </c>
      <c r="J1488" s="119">
        <v>1</v>
      </c>
      <c r="K1488" s="120">
        <v>1</v>
      </c>
      <c r="L1488" s="164">
        <f t="shared" si="119"/>
        <v>0</v>
      </c>
      <c r="M1488" s="111"/>
      <c r="N1488" s="111"/>
    </row>
    <row r="1489" spans="2:14">
      <c r="B1489" s="106">
        <v>1163</v>
      </c>
      <c r="C1489" s="117">
        <v>129</v>
      </c>
      <c r="D1489" s="55"/>
      <c r="E1489" s="55"/>
      <c r="F1489" s="55"/>
      <c r="G1489" s="119" t="s">
        <v>470</v>
      </c>
      <c r="H1489" s="120"/>
      <c r="I1489" s="119">
        <v>1</v>
      </c>
      <c r="J1489" s="119">
        <v>1</v>
      </c>
      <c r="K1489" s="120">
        <v>1</v>
      </c>
      <c r="L1489" s="164">
        <f t="shared" si="119"/>
        <v>0</v>
      </c>
      <c r="M1489" s="111"/>
      <c r="N1489" s="111"/>
    </row>
    <row r="1490" spans="2:14" s="138" customFormat="1" ht="51">
      <c r="D1490" s="135" t="s">
        <v>361</v>
      </c>
      <c r="E1490" s="136" t="s">
        <v>396</v>
      </c>
      <c r="F1490" s="202">
        <v>1</v>
      </c>
      <c r="G1490" s="203" t="s">
        <v>4</v>
      </c>
      <c r="H1490" s="168"/>
      <c r="I1490" s="168"/>
      <c r="J1490" s="168"/>
      <c r="K1490" s="168"/>
      <c r="L1490" s="193">
        <f>SUM(L1491:L1495)</f>
        <v>4390.6000000000004</v>
      </c>
      <c r="M1490" s="168"/>
      <c r="N1490" s="168"/>
    </row>
    <row r="1491" spans="2:14">
      <c r="B1491" s="106">
        <v>1159</v>
      </c>
      <c r="C1491" s="117">
        <v>129</v>
      </c>
      <c r="D1491" s="55"/>
      <c r="E1491" s="55"/>
      <c r="F1491" s="55"/>
      <c r="G1491" s="119" t="s">
        <v>466</v>
      </c>
      <c r="H1491" s="120"/>
      <c r="I1491" s="119">
        <v>1</v>
      </c>
      <c r="J1491" s="119">
        <v>1</v>
      </c>
      <c r="K1491" s="120">
        <v>1</v>
      </c>
      <c r="L1491" s="164">
        <f>H1491*I1491*J1491*K1491</f>
        <v>0</v>
      </c>
      <c r="M1491" s="111"/>
      <c r="N1491" s="111"/>
    </row>
    <row r="1492" spans="2:14">
      <c r="B1492" s="106">
        <v>1160</v>
      </c>
      <c r="C1492" s="117">
        <v>129</v>
      </c>
      <c r="D1492" s="55"/>
      <c r="E1492" s="55"/>
      <c r="F1492" s="55"/>
      <c r="G1492" s="119" t="s">
        <v>467</v>
      </c>
      <c r="H1492" s="120">
        <v>4390.6000000000004</v>
      </c>
      <c r="I1492" s="119">
        <v>1</v>
      </c>
      <c r="J1492" s="119">
        <v>1</v>
      </c>
      <c r="K1492" s="120">
        <v>1</v>
      </c>
      <c r="L1492" s="164">
        <f t="shared" ref="L1492:L1495" si="120">H1492*I1492*J1492*K1492</f>
        <v>4390.6000000000004</v>
      </c>
      <c r="M1492" s="111"/>
      <c r="N1492" s="111"/>
    </row>
    <row r="1493" spans="2:14">
      <c r="B1493" s="106">
        <v>1161</v>
      </c>
      <c r="C1493" s="117">
        <v>129</v>
      </c>
      <c r="D1493" s="55"/>
      <c r="E1493" s="55"/>
      <c r="F1493" s="55"/>
      <c r="G1493" s="119" t="s">
        <v>468</v>
      </c>
      <c r="H1493" s="120"/>
      <c r="I1493" s="119">
        <v>1</v>
      </c>
      <c r="J1493" s="119">
        <v>1</v>
      </c>
      <c r="K1493" s="120">
        <v>1</v>
      </c>
      <c r="L1493" s="164">
        <f t="shared" si="120"/>
        <v>0</v>
      </c>
      <c r="M1493" s="111"/>
      <c r="N1493" s="111"/>
    </row>
    <row r="1494" spans="2:14">
      <c r="B1494" s="106">
        <v>1162</v>
      </c>
      <c r="C1494" s="117">
        <v>129</v>
      </c>
      <c r="D1494" s="55"/>
      <c r="E1494" s="55"/>
      <c r="F1494" s="55"/>
      <c r="G1494" s="119" t="s">
        <v>469</v>
      </c>
      <c r="H1494" s="120"/>
      <c r="I1494" s="119">
        <v>1</v>
      </c>
      <c r="J1494" s="119">
        <v>1</v>
      </c>
      <c r="K1494" s="120">
        <v>1</v>
      </c>
      <c r="L1494" s="164">
        <f t="shared" si="120"/>
        <v>0</v>
      </c>
      <c r="M1494" s="111"/>
      <c r="N1494" s="111"/>
    </row>
    <row r="1495" spans="2:14">
      <c r="B1495" s="106">
        <v>1163</v>
      </c>
      <c r="C1495" s="117">
        <v>129</v>
      </c>
      <c r="D1495" s="55"/>
      <c r="E1495" s="55"/>
      <c r="F1495" s="55"/>
      <c r="G1495" s="119" t="s">
        <v>470</v>
      </c>
      <c r="H1495" s="120"/>
      <c r="I1495" s="119">
        <v>1</v>
      </c>
      <c r="J1495" s="119">
        <v>1</v>
      </c>
      <c r="K1495" s="120">
        <v>1</v>
      </c>
      <c r="L1495" s="164">
        <f t="shared" si="120"/>
        <v>0</v>
      </c>
      <c r="M1495" s="111"/>
      <c r="N1495" s="111"/>
    </row>
    <row r="1496" spans="2:14" s="138" customFormat="1" ht="76.5">
      <c r="C1496" s="168"/>
      <c r="D1496" s="135" t="s">
        <v>362</v>
      </c>
      <c r="E1496" s="136" t="s">
        <v>391</v>
      </c>
      <c r="F1496" s="202">
        <v>2</v>
      </c>
      <c r="G1496" s="203" t="s">
        <v>4</v>
      </c>
      <c r="H1496" s="168"/>
      <c r="I1496" s="168"/>
      <c r="J1496" s="168"/>
      <c r="K1496" s="168"/>
      <c r="L1496" s="193">
        <f>SUM(L1497:L1501)</f>
        <v>10583.9</v>
      </c>
      <c r="M1496" s="168"/>
      <c r="N1496" s="168"/>
    </row>
    <row r="1497" spans="2:14">
      <c r="B1497" s="106">
        <v>1159</v>
      </c>
      <c r="C1497" s="117">
        <v>129</v>
      </c>
      <c r="D1497" s="55"/>
      <c r="E1497" s="55"/>
      <c r="F1497" s="55"/>
      <c r="G1497" s="119" t="s">
        <v>466</v>
      </c>
      <c r="H1497" s="120"/>
      <c r="I1497" s="119">
        <v>1</v>
      </c>
      <c r="J1497" s="119">
        <v>1</v>
      </c>
      <c r="K1497" s="120">
        <v>1</v>
      </c>
      <c r="L1497" s="164">
        <f>H1497*I1497*J1497*K1497</f>
        <v>0</v>
      </c>
      <c r="M1497" s="111"/>
      <c r="N1497" s="111"/>
    </row>
    <row r="1498" spans="2:14">
      <c r="B1498" s="106">
        <v>1160</v>
      </c>
      <c r="C1498" s="117">
        <v>129</v>
      </c>
      <c r="D1498" s="55"/>
      <c r="E1498" s="55"/>
      <c r="F1498" s="55"/>
      <c r="G1498" s="119" t="s">
        <v>467</v>
      </c>
      <c r="H1498" s="120"/>
      <c r="I1498" s="119">
        <v>1</v>
      </c>
      <c r="J1498" s="119">
        <v>1</v>
      </c>
      <c r="K1498" s="120">
        <v>1</v>
      </c>
      <c r="L1498" s="164">
        <f t="shared" ref="L1498:L1501" si="121">H1498*I1498*J1498*K1498</f>
        <v>0</v>
      </c>
      <c r="M1498" s="111"/>
      <c r="N1498" s="111"/>
    </row>
    <row r="1499" spans="2:14">
      <c r="B1499" s="106">
        <v>1161</v>
      </c>
      <c r="C1499" s="117">
        <v>129</v>
      </c>
      <c r="D1499" s="55"/>
      <c r="E1499" s="55"/>
      <c r="F1499" s="55"/>
      <c r="G1499" s="119" t="s">
        <v>468</v>
      </c>
      <c r="H1499" s="120">
        <v>10583.9</v>
      </c>
      <c r="I1499" s="119">
        <v>1</v>
      </c>
      <c r="J1499" s="119">
        <v>1</v>
      </c>
      <c r="K1499" s="120">
        <v>1</v>
      </c>
      <c r="L1499" s="164">
        <f t="shared" si="121"/>
        <v>10583.9</v>
      </c>
      <c r="M1499" s="111"/>
      <c r="N1499" s="111"/>
    </row>
    <row r="1500" spans="2:14">
      <c r="B1500" s="106">
        <v>1162</v>
      </c>
      <c r="C1500" s="117">
        <v>129</v>
      </c>
      <c r="D1500" s="55"/>
      <c r="E1500" s="55"/>
      <c r="F1500" s="55"/>
      <c r="G1500" s="119" t="s">
        <v>469</v>
      </c>
      <c r="H1500" s="120"/>
      <c r="I1500" s="119">
        <v>1</v>
      </c>
      <c r="J1500" s="119">
        <v>1</v>
      </c>
      <c r="K1500" s="120">
        <v>1</v>
      </c>
      <c r="L1500" s="164">
        <f t="shared" si="121"/>
        <v>0</v>
      </c>
      <c r="M1500" s="111"/>
      <c r="N1500" s="111"/>
    </row>
    <row r="1501" spans="2:14">
      <c r="B1501" s="106">
        <v>1163</v>
      </c>
      <c r="C1501" s="117">
        <v>129</v>
      </c>
      <c r="D1501" s="55"/>
      <c r="E1501" s="55"/>
      <c r="F1501" s="55"/>
      <c r="G1501" s="119" t="s">
        <v>470</v>
      </c>
      <c r="H1501" s="120"/>
      <c r="I1501" s="119">
        <v>1</v>
      </c>
      <c r="J1501" s="119">
        <v>1</v>
      </c>
      <c r="K1501" s="120">
        <v>1</v>
      </c>
      <c r="L1501" s="164">
        <f t="shared" si="121"/>
        <v>0</v>
      </c>
      <c r="M1501" s="111"/>
      <c r="N1501" s="111"/>
    </row>
    <row r="1502" spans="2:14" s="138" customFormat="1" ht="51">
      <c r="D1502" s="135" t="s">
        <v>363</v>
      </c>
      <c r="E1502" s="136" t="s">
        <v>365</v>
      </c>
      <c r="F1502" s="202">
        <v>1</v>
      </c>
      <c r="G1502" s="203" t="s">
        <v>4</v>
      </c>
      <c r="H1502" s="168"/>
      <c r="I1502" s="168"/>
      <c r="J1502" s="168"/>
      <c r="K1502" s="168"/>
      <c r="L1502" s="193">
        <f>SUM(L1508:L1530)</f>
        <v>5857.4564645041792</v>
      </c>
      <c r="M1502" s="168"/>
      <c r="N1502" s="168"/>
    </row>
    <row r="1503" spans="2:14">
      <c r="B1503" s="106">
        <v>1159</v>
      </c>
      <c r="C1503" s="117">
        <v>129</v>
      </c>
      <c r="D1503" s="55"/>
      <c r="E1503" s="55"/>
      <c r="F1503" s="55"/>
      <c r="G1503" s="119" t="s">
        <v>466</v>
      </c>
      <c r="H1503" s="120"/>
      <c r="I1503" s="119"/>
      <c r="J1503" s="119"/>
      <c r="K1503" s="120"/>
      <c r="L1503" s="164"/>
      <c r="M1503" s="111"/>
      <c r="N1503" s="111"/>
    </row>
    <row r="1504" spans="2:14">
      <c r="B1504" s="106">
        <v>1160</v>
      </c>
      <c r="C1504" s="117">
        <v>129</v>
      </c>
      <c r="D1504" s="55"/>
      <c r="E1504" s="55"/>
      <c r="F1504" s="55"/>
      <c r="G1504" s="119" t="s">
        <v>467</v>
      </c>
      <c r="H1504" s="120"/>
      <c r="I1504" s="119"/>
      <c r="J1504" s="119"/>
      <c r="K1504" s="120"/>
      <c r="L1504" s="164"/>
      <c r="M1504" s="111"/>
      <c r="N1504" s="111"/>
    </row>
    <row r="1505" spans="1:14">
      <c r="B1505" s="106">
        <v>1161</v>
      </c>
      <c r="C1505" s="117">
        <v>129</v>
      </c>
      <c r="D1505" s="55"/>
      <c r="E1505" s="55"/>
      <c r="F1505" s="55"/>
      <c r="G1505" s="119" t="s">
        <v>468</v>
      </c>
      <c r="H1505" s="120"/>
      <c r="I1505" s="119"/>
      <c r="J1505" s="119"/>
      <c r="K1505" s="120"/>
      <c r="L1505" s="164"/>
      <c r="M1505" s="111"/>
      <c r="N1505" s="111"/>
    </row>
    <row r="1506" spans="1:14">
      <c r="B1506" s="106">
        <v>1162</v>
      </c>
      <c r="C1506" s="117">
        <v>129</v>
      </c>
      <c r="D1506" s="55"/>
      <c r="E1506" s="55"/>
      <c r="F1506" s="55"/>
      <c r="G1506" s="119" t="s">
        <v>469</v>
      </c>
      <c r="H1506" s="120"/>
      <c r="I1506" s="119"/>
      <c r="J1506" s="119"/>
      <c r="K1506" s="120"/>
      <c r="L1506" s="329">
        <f>L1502</f>
        <v>5857.4564645041792</v>
      </c>
      <c r="M1506" s="111"/>
      <c r="N1506" s="111"/>
    </row>
    <row r="1507" spans="1:14">
      <c r="B1507" s="106">
        <v>1163</v>
      </c>
      <c r="C1507" s="117">
        <v>129</v>
      </c>
      <c r="D1507" s="55"/>
      <c r="E1507" s="55"/>
      <c r="F1507" s="55"/>
      <c r="G1507" s="119" t="s">
        <v>470</v>
      </c>
      <c r="H1507" s="120"/>
      <c r="I1507" s="119"/>
      <c r="J1507" s="119"/>
      <c r="K1507" s="120"/>
      <c r="L1507" s="164"/>
      <c r="M1507" s="111"/>
      <c r="N1507" s="111"/>
    </row>
    <row r="1508" spans="1:14" customFormat="1">
      <c r="A1508" s="89"/>
      <c r="B1508" s="315"/>
      <c r="C1508" s="359"/>
      <c r="D1508" s="359"/>
      <c r="E1508" s="359"/>
      <c r="F1508" s="359"/>
      <c r="G1508" s="344" t="s">
        <v>453</v>
      </c>
      <c r="H1508" s="317">
        <v>25</v>
      </c>
      <c r="I1508" s="336">
        <v>3</v>
      </c>
      <c r="J1508" s="337">
        <v>1</v>
      </c>
      <c r="K1508" s="336">
        <v>5</v>
      </c>
      <c r="L1508" s="342">
        <f t="shared" ref="L1508:L1530" si="122">+H1508*I1508*J1508*K1508</f>
        <v>375</v>
      </c>
    </row>
    <row r="1509" spans="1:14" customFormat="1">
      <c r="A1509" s="89"/>
      <c r="B1509" s="315"/>
      <c r="C1509" s="359"/>
      <c r="D1509" s="359"/>
      <c r="E1509" s="359"/>
      <c r="F1509" s="359"/>
      <c r="G1509" s="341" t="s">
        <v>1108</v>
      </c>
      <c r="H1509" s="341"/>
      <c r="I1509" s="341"/>
      <c r="J1509" s="341"/>
      <c r="K1509" s="341"/>
      <c r="L1509" s="342">
        <f t="shared" si="122"/>
        <v>0</v>
      </c>
    </row>
    <row r="1510" spans="1:14" customFormat="1">
      <c r="A1510" s="89"/>
      <c r="B1510" s="315"/>
      <c r="C1510" s="359"/>
      <c r="D1510" s="359"/>
      <c r="E1510" s="359"/>
      <c r="F1510" s="359"/>
      <c r="G1510" s="316" t="s">
        <v>429</v>
      </c>
      <c r="H1510" s="317">
        <v>4</v>
      </c>
      <c r="I1510" s="336">
        <v>28</v>
      </c>
      <c r="J1510" s="337">
        <v>1</v>
      </c>
      <c r="K1510" s="336">
        <v>5</v>
      </c>
      <c r="L1510" s="342">
        <f t="shared" si="122"/>
        <v>560</v>
      </c>
    </row>
    <row r="1511" spans="1:14" customFormat="1">
      <c r="A1511" s="89"/>
      <c r="B1511" s="315"/>
      <c r="C1511" s="359"/>
      <c r="D1511" s="359"/>
      <c r="E1511" s="359"/>
      <c r="F1511" s="359"/>
      <c r="G1511" s="316" t="s">
        <v>430</v>
      </c>
      <c r="H1511" s="317">
        <v>8</v>
      </c>
      <c r="I1511" s="336">
        <v>28</v>
      </c>
      <c r="J1511" s="337">
        <v>1</v>
      </c>
      <c r="K1511" s="336">
        <v>5</v>
      </c>
      <c r="L1511" s="342">
        <f t="shared" si="122"/>
        <v>1120</v>
      </c>
    </row>
    <row r="1512" spans="1:14" customFormat="1" ht="24">
      <c r="A1512" s="89"/>
      <c r="B1512" s="315"/>
      <c r="C1512" s="359"/>
      <c r="D1512" s="359"/>
      <c r="E1512" s="359"/>
      <c r="F1512" s="359"/>
      <c r="G1512" s="316" t="s">
        <v>431</v>
      </c>
      <c r="H1512" s="317">
        <v>10</v>
      </c>
      <c r="I1512" s="336">
        <v>25</v>
      </c>
      <c r="J1512" s="337">
        <v>1</v>
      </c>
      <c r="K1512" s="336">
        <v>5</v>
      </c>
      <c r="L1512" s="342">
        <f t="shared" si="122"/>
        <v>1250</v>
      </c>
    </row>
    <row r="1513" spans="1:14" customFormat="1">
      <c r="A1513" s="89"/>
      <c r="B1513" s="315"/>
      <c r="C1513" s="359"/>
      <c r="D1513" s="359"/>
      <c r="E1513" s="359"/>
      <c r="F1513" s="359"/>
      <c r="G1513" s="316" t="s">
        <v>432</v>
      </c>
      <c r="H1513" s="317">
        <v>8</v>
      </c>
      <c r="I1513" s="336">
        <v>1</v>
      </c>
      <c r="J1513" s="337">
        <v>1</v>
      </c>
      <c r="K1513" s="336">
        <v>5</v>
      </c>
      <c r="L1513" s="342">
        <f t="shared" si="122"/>
        <v>40</v>
      </c>
    </row>
    <row r="1514" spans="1:14" customFormat="1">
      <c r="A1514" s="89"/>
      <c r="B1514" s="315"/>
      <c r="C1514" s="359"/>
      <c r="D1514" s="359"/>
      <c r="E1514" s="359"/>
      <c r="F1514" s="359"/>
      <c r="G1514" s="316" t="s">
        <v>433</v>
      </c>
      <c r="H1514" s="317">
        <v>10</v>
      </c>
      <c r="I1514" s="336">
        <v>1</v>
      </c>
      <c r="J1514" s="337">
        <v>1</v>
      </c>
      <c r="K1514" s="336">
        <v>5</v>
      </c>
      <c r="L1514" s="342">
        <f t="shared" si="122"/>
        <v>50</v>
      </c>
    </row>
    <row r="1515" spans="1:14" customFormat="1">
      <c r="A1515" s="89"/>
      <c r="B1515" s="315"/>
      <c r="C1515" s="359"/>
      <c r="D1515" s="359"/>
      <c r="E1515" s="359"/>
      <c r="F1515" s="359"/>
      <c r="G1515" s="316" t="s">
        <v>434</v>
      </c>
      <c r="H1515" s="317">
        <v>10</v>
      </c>
      <c r="I1515" s="336">
        <v>25</v>
      </c>
      <c r="J1515" s="337">
        <v>1</v>
      </c>
      <c r="K1515" s="336">
        <v>1</v>
      </c>
      <c r="L1515" s="342">
        <f t="shared" si="122"/>
        <v>250</v>
      </c>
    </row>
    <row r="1516" spans="1:14" customFormat="1">
      <c r="A1516" s="89"/>
      <c r="B1516" s="315"/>
      <c r="C1516" s="359"/>
      <c r="D1516" s="359"/>
      <c r="E1516" s="359"/>
      <c r="F1516" s="359"/>
      <c r="G1516" s="316" t="s">
        <v>435</v>
      </c>
      <c r="H1516" s="317">
        <v>70</v>
      </c>
      <c r="I1516" s="336">
        <v>1</v>
      </c>
      <c r="J1516" s="337">
        <v>1</v>
      </c>
      <c r="K1516" s="336">
        <v>5</v>
      </c>
      <c r="L1516" s="342">
        <f t="shared" si="122"/>
        <v>350</v>
      </c>
    </row>
    <row r="1517" spans="1:14" customFormat="1">
      <c r="A1517" s="89"/>
      <c r="B1517" s="315"/>
      <c r="C1517" s="359"/>
      <c r="D1517" s="359"/>
      <c r="E1517" s="359"/>
      <c r="F1517" s="359"/>
      <c r="G1517" s="316" t="s">
        <v>436</v>
      </c>
      <c r="H1517" s="343">
        <v>0.88038502171616384</v>
      </c>
      <c r="I1517" s="336">
        <v>1</v>
      </c>
      <c r="J1517" s="337">
        <v>1</v>
      </c>
      <c r="K1517" s="336">
        <v>1</v>
      </c>
      <c r="L1517" s="342">
        <f t="shared" si="122"/>
        <v>0.88038502171616384</v>
      </c>
    </row>
    <row r="1518" spans="1:14" customFormat="1">
      <c r="A1518" s="89"/>
      <c r="B1518" s="315"/>
      <c r="C1518" s="359"/>
      <c r="D1518" s="359"/>
      <c r="E1518" s="359"/>
      <c r="F1518" s="359"/>
      <c r="G1518" s="316" t="s">
        <v>437</v>
      </c>
      <c r="H1518" s="343">
        <f>400000/17038</f>
        <v>23.476933912431036</v>
      </c>
      <c r="I1518" s="336">
        <v>1</v>
      </c>
      <c r="J1518" s="337">
        <v>1</v>
      </c>
      <c r="K1518" s="336">
        <v>1</v>
      </c>
      <c r="L1518" s="342">
        <f t="shared" si="122"/>
        <v>23.476933912431036</v>
      </c>
    </row>
    <row r="1519" spans="1:14" customFormat="1">
      <c r="A1519" s="89"/>
      <c r="B1519" s="315"/>
      <c r="C1519" s="359"/>
      <c r="D1519" s="359"/>
      <c r="E1519" s="359"/>
      <c r="F1519" s="359"/>
      <c r="G1519" s="316" t="s">
        <v>438</v>
      </c>
      <c r="H1519" s="343">
        <v>0.58692334781077593</v>
      </c>
      <c r="I1519" s="336">
        <v>1</v>
      </c>
      <c r="J1519" s="337">
        <v>1</v>
      </c>
      <c r="K1519" s="336">
        <v>1</v>
      </c>
      <c r="L1519" s="342">
        <f t="shared" si="122"/>
        <v>0.58692334781077593</v>
      </c>
    </row>
    <row r="1520" spans="1:14" customFormat="1">
      <c r="A1520" s="89"/>
      <c r="B1520" s="315"/>
      <c r="C1520" s="359"/>
      <c r="D1520" s="359"/>
      <c r="E1520" s="359"/>
      <c r="F1520" s="359"/>
      <c r="G1520" s="316" t="s">
        <v>439</v>
      </c>
      <c r="H1520" s="343">
        <v>135</v>
      </c>
      <c r="I1520" s="336">
        <v>1</v>
      </c>
      <c r="J1520" s="337">
        <v>1</v>
      </c>
      <c r="K1520" s="336">
        <v>7</v>
      </c>
      <c r="L1520" s="342">
        <f t="shared" si="122"/>
        <v>945</v>
      </c>
    </row>
    <row r="1521" spans="1:14" customFormat="1">
      <c r="A1521" s="89"/>
      <c r="B1521" s="315"/>
      <c r="C1521" s="359"/>
      <c r="D1521" s="359"/>
      <c r="E1521" s="359"/>
      <c r="F1521" s="359"/>
      <c r="G1521" s="316" t="s">
        <v>440</v>
      </c>
      <c r="H1521" s="343">
        <v>260</v>
      </c>
      <c r="I1521" s="336">
        <v>1</v>
      </c>
      <c r="J1521" s="337">
        <v>1</v>
      </c>
      <c r="K1521" s="336">
        <v>1</v>
      </c>
      <c r="L1521" s="342">
        <f t="shared" si="122"/>
        <v>260</v>
      </c>
    </row>
    <row r="1522" spans="1:14" customFormat="1">
      <c r="A1522" s="89"/>
      <c r="B1522" s="315"/>
      <c r="C1522" s="359"/>
      <c r="D1522" s="359"/>
      <c r="E1522" s="359"/>
      <c r="F1522" s="359"/>
      <c r="G1522" s="344" t="s">
        <v>441</v>
      </c>
      <c r="H1522" s="317"/>
      <c r="I1522" s="336"/>
      <c r="J1522" s="337"/>
      <c r="K1522" s="336"/>
      <c r="L1522" s="342">
        <f t="shared" si="122"/>
        <v>0</v>
      </c>
    </row>
    <row r="1523" spans="1:14" customFormat="1">
      <c r="A1523" s="89"/>
      <c r="B1523" s="315"/>
      <c r="C1523" s="359"/>
      <c r="D1523" s="359"/>
      <c r="E1523" s="359"/>
      <c r="F1523" s="359"/>
      <c r="G1523" s="316" t="s">
        <v>442</v>
      </c>
      <c r="H1523" s="317">
        <v>6</v>
      </c>
      <c r="I1523" s="336">
        <v>35</v>
      </c>
      <c r="J1523" s="337">
        <v>1</v>
      </c>
      <c r="K1523" s="336">
        <v>1</v>
      </c>
      <c r="L1523" s="342">
        <f t="shared" si="122"/>
        <v>210</v>
      </c>
    </row>
    <row r="1524" spans="1:14" customFormat="1">
      <c r="A1524" s="89"/>
      <c r="B1524" s="315"/>
      <c r="C1524" s="359"/>
      <c r="D1524" s="359"/>
      <c r="E1524" s="359"/>
      <c r="F1524" s="359"/>
      <c r="G1524" s="316" t="s">
        <v>435</v>
      </c>
      <c r="H1524" s="317">
        <v>70</v>
      </c>
      <c r="I1524" s="336">
        <v>1</v>
      </c>
      <c r="J1524" s="337">
        <v>1</v>
      </c>
      <c r="K1524" s="336">
        <v>1</v>
      </c>
      <c r="L1524" s="342">
        <f t="shared" si="122"/>
        <v>70</v>
      </c>
    </row>
    <row r="1525" spans="1:14" customFormat="1">
      <c r="A1525" s="89"/>
      <c r="B1525" s="315"/>
      <c r="C1525" s="359"/>
      <c r="D1525" s="359"/>
      <c r="E1525" s="359"/>
      <c r="F1525" s="359"/>
      <c r="G1525" s="316" t="s">
        <v>443</v>
      </c>
      <c r="H1525" s="317">
        <f>150000/18000</f>
        <v>8.3333333333333339</v>
      </c>
      <c r="I1525" s="345">
        <f>(25*35)/500</f>
        <v>1.75</v>
      </c>
      <c r="J1525" s="337">
        <v>1</v>
      </c>
      <c r="K1525" s="336">
        <v>1</v>
      </c>
      <c r="L1525" s="342">
        <f t="shared" si="122"/>
        <v>14.583333333333334</v>
      </c>
    </row>
    <row r="1526" spans="1:14" customFormat="1">
      <c r="A1526" s="89"/>
      <c r="B1526" s="315"/>
      <c r="C1526" s="359"/>
      <c r="D1526" s="359"/>
      <c r="E1526" s="359"/>
      <c r="F1526" s="359"/>
      <c r="G1526" s="316" t="s">
        <v>444</v>
      </c>
      <c r="H1526" s="317">
        <f>20000/18000</f>
        <v>1.1111111111111112</v>
      </c>
      <c r="I1526" s="336">
        <v>35</v>
      </c>
      <c r="J1526" s="337">
        <v>1</v>
      </c>
      <c r="K1526" s="336">
        <v>1</v>
      </c>
      <c r="L1526" s="342">
        <f t="shared" si="122"/>
        <v>38.888888888888893</v>
      </c>
    </row>
    <row r="1527" spans="1:14" customFormat="1">
      <c r="A1527" s="89"/>
      <c r="B1527" s="315"/>
      <c r="C1527" s="359"/>
      <c r="D1527" s="359"/>
      <c r="E1527" s="359"/>
      <c r="F1527" s="359"/>
      <c r="G1527" s="316" t="s">
        <v>445</v>
      </c>
      <c r="H1527" s="317">
        <v>0.56000000000000005</v>
      </c>
      <c r="I1527" s="336">
        <v>70</v>
      </c>
      <c r="J1527" s="337">
        <v>1</v>
      </c>
      <c r="K1527" s="336">
        <v>1</v>
      </c>
      <c r="L1527" s="342">
        <f t="shared" si="122"/>
        <v>39.200000000000003</v>
      </c>
    </row>
    <row r="1528" spans="1:14" customFormat="1" ht="24">
      <c r="A1528" s="89"/>
      <c r="B1528" s="315"/>
      <c r="C1528" s="359"/>
      <c r="D1528" s="359"/>
      <c r="E1528" s="359"/>
      <c r="F1528" s="359"/>
      <c r="G1528" s="316" t="s">
        <v>1101</v>
      </c>
      <c r="H1528" s="317">
        <v>167</v>
      </c>
      <c r="I1528" s="336">
        <v>1</v>
      </c>
      <c r="J1528" s="337">
        <v>1</v>
      </c>
      <c r="K1528" s="336">
        <v>1</v>
      </c>
      <c r="L1528" s="342">
        <f t="shared" si="122"/>
        <v>167</v>
      </c>
    </row>
    <row r="1529" spans="1:14" customFormat="1">
      <c r="A1529" s="89"/>
      <c r="B1529" s="315"/>
      <c r="C1529" s="359"/>
      <c r="D1529" s="359"/>
      <c r="E1529" s="359"/>
      <c r="F1529" s="359"/>
      <c r="G1529" s="344" t="s">
        <v>446</v>
      </c>
      <c r="H1529" s="317">
        <v>16.670000000000002</v>
      </c>
      <c r="I1529" s="336">
        <v>2</v>
      </c>
      <c r="J1529" s="337">
        <v>1</v>
      </c>
      <c r="K1529" s="336">
        <v>1</v>
      </c>
      <c r="L1529" s="342">
        <f t="shared" si="122"/>
        <v>33.340000000000003</v>
      </c>
    </row>
    <row r="1530" spans="1:14" customFormat="1">
      <c r="A1530" s="89"/>
      <c r="B1530" s="315"/>
      <c r="C1530" s="359"/>
      <c r="D1530" s="359"/>
      <c r="E1530" s="359"/>
      <c r="F1530" s="359"/>
      <c r="G1530" s="344" t="s">
        <v>447</v>
      </c>
      <c r="H1530" s="317">
        <v>1.19</v>
      </c>
      <c r="I1530" s="336">
        <v>10</v>
      </c>
      <c r="J1530" s="337">
        <v>1</v>
      </c>
      <c r="K1530" s="336">
        <v>5</v>
      </c>
      <c r="L1530" s="342">
        <f t="shared" si="122"/>
        <v>59.499999999999993</v>
      </c>
    </row>
    <row r="1535" spans="1:14">
      <c r="M1535" s="123">
        <f>SUM(M3:M1534)</f>
        <v>4218805.1399999987</v>
      </c>
      <c r="N1535" s="124">
        <f>SUM(N3:N1534)</f>
        <v>85503574.096666664</v>
      </c>
    </row>
    <row r="1536" spans="1:14">
      <c r="N1536" s="125">
        <f>N1535/M1535</f>
        <v>20.267248962502851</v>
      </c>
    </row>
  </sheetData>
  <mergeCells count="7">
    <mergeCell ref="O847:P851"/>
    <mergeCell ref="O853:P857"/>
    <mergeCell ref="C1:F1"/>
    <mergeCell ref="G1:L1"/>
    <mergeCell ref="M1:N1"/>
    <mergeCell ref="O399:O402"/>
    <mergeCell ref="O841:P845"/>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dimension ref="A2:D71"/>
  <sheetViews>
    <sheetView workbookViewId="0">
      <selection activeCell="F3" sqref="F3"/>
    </sheetView>
  </sheetViews>
  <sheetFormatPr defaultRowHeight="15"/>
  <cols>
    <col min="1" max="1" width="44" customWidth="1"/>
    <col min="2" max="2" width="13.85546875" bestFit="1" customWidth="1"/>
    <col min="3" max="3" width="12.5703125" customWidth="1"/>
    <col min="4" max="4" width="18.7109375" bestFit="1" customWidth="1"/>
    <col min="257" max="257" width="44" customWidth="1"/>
    <col min="258" max="258" width="13.85546875" bestFit="1" customWidth="1"/>
    <col min="259" max="259" width="12.5703125" customWidth="1"/>
    <col min="260" max="260" width="18.7109375" bestFit="1" customWidth="1"/>
    <col min="513" max="513" width="44" customWidth="1"/>
    <col min="514" max="514" width="13.85546875" bestFit="1" customWidth="1"/>
    <col min="515" max="515" width="12.5703125" customWidth="1"/>
    <col min="516" max="516" width="18.7109375" bestFit="1" customWidth="1"/>
    <col min="769" max="769" width="44" customWidth="1"/>
    <col min="770" max="770" width="13.85546875" bestFit="1" customWidth="1"/>
    <col min="771" max="771" width="12.5703125" customWidth="1"/>
    <col min="772" max="772" width="18.7109375" bestFit="1" customWidth="1"/>
    <col min="1025" max="1025" width="44" customWidth="1"/>
    <col min="1026" max="1026" width="13.85546875" bestFit="1" customWidth="1"/>
    <col min="1027" max="1027" width="12.5703125" customWidth="1"/>
    <col min="1028" max="1028" width="18.7109375" bestFit="1" customWidth="1"/>
    <col min="1281" max="1281" width="44" customWidth="1"/>
    <col min="1282" max="1282" width="13.85546875" bestFit="1" customWidth="1"/>
    <col min="1283" max="1283" width="12.5703125" customWidth="1"/>
    <col min="1284" max="1284" width="18.7109375" bestFit="1" customWidth="1"/>
    <col min="1537" max="1537" width="44" customWidth="1"/>
    <col min="1538" max="1538" width="13.85546875" bestFit="1" customWidth="1"/>
    <col min="1539" max="1539" width="12.5703125" customWidth="1"/>
    <col min="1540" max="1540" width="18.7109375" bestFit="1" customWidth="1"/>
    <col min="1793" max="1793" width="44" customWidth="1"/>
    <col min="1794" max="1794" width="13.85546875" bestFit="1" customWidth="1"/>
    <col min="1795" max="1795" width="12.5703125" customWidth="1"/>
    <col min="1796" max="1796" width="18.7109375" bestFit="1" customWidth="1"/>
    <col min="2049" max="2049" width="44" customWidth="1"/>
    <col min="2050" max="2050" width="13.85546875" bestFit="1" customWidth="1"/>
    <col min="2051" max="2051" width="12.5703125" customWidth="1"/>
    <col min="2052" max="2052" width="18.7109375" bestFit="1" customWidth="1"/>
    <col min="2305" max="2305" width="44" customWidth="1"/>
    <col min="2306" max="2306" width="13.85546875" bestFit="1" customWidth="1"/>
    <col min="2307" max="2307" width="12.5703125" customWidth="1"/>
    <col min="2308" max="2308" width="18.7109375" bestFit="1" customWidth="1"/>
    <col min="2561" max="2561" width="44" customWidth="1"/>
    <col min="2562" max="2562" width="13.85546875" bestFit="1" customWidth="1"/>
    <col min="2563" max="2563" width="12.5703125" customWidth="1"/>
    <col min="2564" max="2564" width="18.7109375" bestFit="1" customWidth="1"/>
    <col min="2817" max="2817" width="44" customWidth="1"/>
    <col min="2818" max="2818" width="13.85546875" bestFit="1" customWidth="1"/>
    <col min="2819" max="2819" width="12.5703125" customWidth="1"/>
    <col min="2820" max="2820" width="18.7109375" bestFit="1" customWidth="1"/>
    <col min="3073" max="3073" width="44" customWidth="1"/>
    <col min="3074" max="3074" width="13.85546875" bestFit="1" customWidth="1"/>
    <col min="3075" max="3075" width="12.5703125" customWidth="1"/>
    <col min="3076" max="3076" width="18.7109375" bestFit="1" customWidth="1"/>
    <col min="3329" max="3329" width="44" customWidth="1"/>
    <col min="3330" max="3330" width="13.85546875" bestFit="1" customWidth="1"/>
    <col min="3331" max="3331" width="12.5703125" customWidth="1"/>
    <col min="3332" max="3332" width="18.7109375" bestFit="1" customWidth="1"/>
    <col min="3585" max="3585" width="44" customWidth="1"/>
    <col min="3586" max="3586" width="13.85546875" bestFit="1" customWidth="1"/>
    <col min="3587" max="3587" width="12.5703125" customWidth="1"/>
    <col min="3588" max="3588" width="18.7109375" bestFit="1" customWidth="1"/>
    <col min="3841" max="3841" width="44" customWidth="1"/>
    <col min="3842" max="3842" width="13.85546875" bestFit="1" customWidth="1"/>
    <col min="3843" max="3843" width="12.5703125" customWidth="1"/>
    <col min="3844" max="3844" width="18.7109375" bestFit="1" customWidth="1"/>
    <col min="4097" max="4097" width="44" customWidth="1"/>
    <col min="4098" max="4098" width="13.85546875" bestFit="1" customWidth="1"/>
    <col min="4099" max="4099" width="12.5703125" customWidth="1"/>
    <col min="4100" max="4100" width="18.7109375" bestFit="1" customWidth="1"/>
    <col min="4353" max="4353" width="44" customWidth="1"/>
    <col min="4354" max="4354" width="13.85546875" bestFit="1" customWidth="1"/>
    <col min="4355" max="4355" width="12.5703125" customWidth="1"/>
    <col min="4356" max="4356" width="18.7109375" bestFit="1" customWidth="1"/>
    <col min="4609" max="4609" width="44" customWidth="1"/>
    <col min="4610" max="4610" width="13.85546875" bestFit="1" customWidth="1"/>
    <col min="4611" max="4611" width="12.5703125" customWidth="1"/>
    <col min="4612" max="4612" width="18.7109375" bestFit="1" customWidth="1"/>
    <col min="4865" max="4865" width="44" customWidth="1"/>
    <col min="4866" max="4866" width="13.85546875" bestFit="1" customWidth="1"/>
    <col min="4867" max="4867" width="12.5703125" customWidth="1"/>
    <col min="4868" max="4868" width="18.7109375" bestFit="1" customWidth="1"/>
    <col min="5121" max="5121" width="44" customWidth="1"/>
    <col min="5122" max="5122" width="13.85546875" bestFit="1" customWidth="1"/>
    <col min="5123" max="5123" width="12.5703125" customWidth="1"/>
    <col min="5124" max="5124" width="18.7109375" bestFit="1" customWidth="1"/>
    <col min="5377" max="5377" width="44" customWidth="1"/>
    <col min="5378" max="5378" width="13.85546875" bestFit="1" customWidth="1"/>
    <col min="5379" max="5379" width="12.5703125" customWidth="1"/>
    <col min="5380" max="5380" width="18.7109375" bestFit="1" customWidth="1"/>
    <col min="5633" max="5633" width="44" customWidth="1"/>
    <col min="5634" max="5634" width="13.85546875" bestFit="1" customWidth="1"/>
    <col min="5635" max="5635" width="12.5703125" customWidth="1"/>
    <col min="5636" max="5636" width="18.7109375" bestFit="1" customWidth="1"/>
    <col min="5889" max="5889" width="44" customWidth="1"/>
    <col min="5890" max="5890" width="13.85546875" bestFit="1" customWidth="1"/>
    <col min="5891" max="5891" width="12.5703125" customWidth="1"/>
    <col min="5892" max="5892" width="18.7109375" bestFit="1" customWidth="1"/>
    <col min="6145" max="6145" width="44" customWidth="1"/>
    <col min="6146" max="6146" width="13.85546875" bestFit="1" customWidth="1"/>
    <col min="6147" max="6147" width="12.5703125" customWidth="1"/>
    <col min="6148" max="6148" width="18.7109375" bestFit="1" customWidth="1"/>
    <col min="6401" max="6401" width="44" customWidth="1"/>
    <col min="6402" max="6402" width="13.85546875" bestFit="1" customWidth="1"/>
    <col min="6403" max="6403" width="12.5703125" customWidth="1"/>
    <col min="6404" max="6404" width="18.7109375" bestFit="1" customWidth="1"/>
    <col min="6657" max="6657" width="44" customWidth="1"/>
    <col min="6658" max="6658" width="13.85546875" bestFit="1" customWidth="1"/>
    <col min="6659" max="6659" width="12.5703125" customWidth="1"/>
    <col min="6660" max="6660" width="18.7109375" bestFit="1" customWidth="1"/>
    <col min="6913" max="6913" width="44" customWidth="1"/>
    <col min="6914" max="6914" width="13.85546875" bestFit="1" customWidth="1"/>
    <col min="6915" max="6915" width="12.5703125" customWidth="1"/>
    <col min="6916" max="6916" width="18.7109375" bestFit="1" customWidth="1"/>
    <col min="7169" max="7169" width="44" customWidth="1"/>
    <col min="7170" max="7170" width="13.85546875" bestFit="1" customWidth="1"/>
    <col min="7171" max="7171" width="12.5703125" customWidth="1"/>
    <col min="7172" max="7172" width="18.7109375" bestFit="1" customWidth="1"/>
    <col min="7425" max="7425" width="44" customWidth="1"/>
    <col min="7426" max="7426" width="13.85546875" bestFit="1" customWidth="1"/>
    <col min="7427" max="7427" width="12.5703125" customWidth="1"/>
    <col min="7428" max="7428" width="18.7109375" bestFit="1" customWidth="1"/>
    <col min="7681" max="7681" width="44" customWidth="1"/>
    <col min="7682" max="7682" width="13.85546875" bestFit="1" customWidth="1"/>
    <col min="7683" max="7683" width="12.5703125" customWidth="1"/>
    <col min="7684" max="7684" width="18.7109375" bestFit="1" customWidth="1"/>
    <col min="7937" max="7937" width="44" customWidth="1"/>
    <col min="7938" max="7938" width="13.85546875" bestFit="1" customWidth="1"/>
    <col min="7939" max="7939" width="12.5703125" customWidth="1"/>
    <col min="7940" max="7940" width="18.7109375" bestFit="1" customWidth="1"/>
    <col min="8193" max="8193" width="44" customWidth="1"/>
    <col min="8194" max="8194" width="13.85546875" bestFit="1" customWidth="1"/>
    <col min="8195" max="8195" width="12.5703125" customWidth="1"/>
    <col min="8196" max="8196" width="18.7109375" bestFit="1" customWidth="1"/>
    <col min="8449" max="8449" width="44" customWidth="1"/>
    <col min="8450" max="8450" width="13.85546875" bestFit="1" customWidth="1"/>
    <col min="8451" max="8451" width="12.5703125" customWidth="1"/>
    <col min="8452" max="8452" width="18.7109375" bestFit="1" customWidth="1"/>
    <col min="8705" max="8705" width="44" customWidth="1"/>
    <col min="8706" max="8706" width="13.85546875" bestFit="1" customWidth="1"/>
    <col min="8707" max="8707" width="12.5703125" customWidth="1"/>
    <col min="8708" max="8708" width="18.7109375" bestFit="1" customWidth="1"/>
    <col min="8961" max="8961" width="44" customWidth="1"/>
    <col min="8962" max="8962" width="13.85546875" bestFit="1" customWidth="1"/>
    <col min="8963" max="8963" width="12.5703125" customWidth="1"/>
    <col min="8964" max="8964" width="18.7109375" bestFit="1" customWidth="1"/>
    <col min="9217" max="9217" width="44" customWidth="1"/>
    <col min="9218" max="9218" width="13.85546875" bestFit="1" customWidth="1"/>
    <col min="9219" max="9219" width="12.5703125" customWidth="1"/>
    <col min="9220" max="9220" width="18.7109375" bestFit="1" customWidth="1"/>
    <col min="9473" max="9473" width="44" customWidth="1"/>
    <col min="9474" max="9474" width="13.85546875" bestFit="1" customWidth="1"/>
    <col min="9475" max="9475" width="12.5703125" customWidth="1"/>
    <col min="9476" max="9476" width="18.7109375" bestFit="1" customWidth="1"/>
    <col min="9729" max="9729" width="44" customWidth="1"/>
    <col min="9730" max="9730" width="13.85546875" bestFit="1" customWidth="1"/>
    <col min="9731" max="9731" width="12.5703125" customWidth="1"/>
    <col min="9732" max="9732" width="18.7109375" bestFit="1" customWidth="1"/>
    <col min="9985" max="9985" width="44" customWidth="1"/>
    <col min="9986" max="9986" width="13.85546875" bestFit="1" customWidth="1"/>
    <col min="9987" max="9987" width="12.5703125" customWidth="1"/>
    <col min="9988" max="9988" width="18.7109375" bestFit="1" customWidth="1"/>
    <col min="10241" max="10241" width="44" customWidth="1"/>
    <col min="10242" max="10242" width="13.85546875" bestFit="1" customWidth="1"/>
    <col min="10243" max="10243" width="12.5703125" customWidth="1"/>
    <col min="10244" max="10244" width="18.7109375" bestFit="1" customWidth="1"/>
    <col min="10497" max="10497" width="44" customWidth="1"/>
    <col min="10498" max="10498" width="13.85546875" bestFit="1" customWidth="1"/>
    <col min="10499" max="10499" width="12.5703125" customWidth="1"/>
    <col min="10500" max="10500" width="18.7109375" bestFit="1" customWidth="1"/>
    <col min="10753" max="10753" width="44" customWidth="1"/>
    <col min="10754" max="10754" width="13.85546875" bestFit="1" customWidth="1"/>
    <col min="10755" max="10755" width="12.5703125" customWidth="1"/>
    <col min="10756" max="10756" width="18.7109375" bestFit="1" customWidth="1"/>
    <col min="11009" max="11009" width="44" customWidth="1"/>
    <col min="11010" max="11010" width="13.85546875" bestFit="1" customWidth="1"/>
    <col min="11011" max="11011" width="12.5703125" customWidth="1"/>
    <col min="11012" max="11012" width="18.7109375" bestFit="1" customWidth="1"/>
    <col min="11265" max="11265" width="44" customWidth="1"/>
    <col min="11266" max="11266" width="13.85546875" bestFit="1" customWidth="1"/>
    <col min="11267" max="11267" width="12.5703125" customWidth="1"/>
    <col min="11268" max="11268" width="18.7109375" bestFit="1" customWidth="1"/>
    <col min="11521" max="11521" width="44" customWidth="1"/>
    <col min="11522" max="11522" width="13.85546875" bestFit="1" customWidth="1"/>
    <col min="11523" max="11523" width="12.5703125" customWidth="1"/>
    <col min="11524" max="11524" width="18.7109375" bestFit="1" customWidth="1"/>
    <col min="11777" max="11777" width="44" customWidth="1"/>
    <col min="11778" max="11778" width="13.85546875" bestFit="1" customWidth="1"/>
    <col min="11779" max="11779" width="12.5703125" customWidth="1"/>
    <col min="11780" max="11780" width="18.7109375" bestFit="1" customWidth="1"/>
    <col min="12033" max="12033" width="44" customWidth="1"/>
    <col min="12034" max="12034" width="13.85546875" bestFit="1" customWidth="1"/>
    <col min="12035" max="12035" width="12.5703125" customWidth="1"/>
    <col min="12036" max="12036" width="18.7109375" bestFit="1" customWidth="1"/>
    <col min="12289" max="12289" width="44" customWidth="1"/>
    <col min="12290" max="12290" width="13.85546875" bestFit="1" customWidth="1"/>
    <col min="12291" max="12291" width="12.5703125" customWidth="1"/>
    <col min="12292" max="12292" width="18.7109375" bestFit="1" customWidth="1"/>
    <col min="12545" max="12545" width="44" customWidth="1"/>
    <col min="12546" max="12546" width="13.85546875" bestFit="1" customWidth="1"/>
    <col min="12547" max="12547" width="12.5703125" customWidth="1"/>
    <col min="12548" max="12548" width="18.7109375" bestFit="1" customWidth="1"/>
    <col min="12801" max="12801" width="44" customWidth="1"/>
    <col min="12802" max="12802" width="13.85546875" bestFit="1" customWidth="1"/>
    <col min="12803" max="12803" width="12.5703125" customWidth="1"/>
    <col min="12804" max="12804" width="18.7109375" bestFit="1" customWidth="1"/>
    <col min="13057" max="13057" width="44" customWidth="1"/>
    <col min="13058" max="13058" width="13.85546875" bestFit="1" customWidth="1"/>
    <col min="13059" max="13059" width="12.5703125" customWidth="1"/>
    <col min="13060" max="13060" width="18.7109375" bestFit="1" customWidth="1"/>
    <col min="13313" max="13313" width="44" customWidth="1"/>
    <col min="13314" max="13314" width="13.85546875" bestFit="1" customWidth="1"/>
    <col min="13315" max="13315" width="12.5703125" customWidth="1"/>
    <col min="13316" max="13316" width="18.7109375" bestFit="1" customWidth="1"/>
    <col min="13569" max="13569" width="44" customWidth="1"/>
    <col min="13570" max="13570" width="13.85546875" bestFit="1" customWidth="1"/>
    <col min="13571" max="13571" width="12.5703125" customWidth="1"/>
    <col min="13572" max="13572" width="18.7109375" bestFit="1" customWidth="1"/>
    <col min="13825" max="13825" width="44" customWidth="1"/>
    <col min="13826" max="13826" width="13.85546875" bestFit="1" customWidth="1"/>
    <col min="13827" max="13827" width="12.5703125" customWidth="1"/>
    <col min="13828" max="13828" width="18.7109375" bestFit="1" customWidth="1"/>
    <col min="14081" max="14081" width="44" customWidth="1"/>
    <col min="14082" max="14082" width="13.85546875" bestFit="1" customWidth="1"/>
    <col min="14083" max="14083" width="12.5703125" customWidth="1"/>
    <col min="14084" max="14084" width="18.7109375" bestFit="1" customWidth="1"/>
    <col min="14337" max="14337" width="44" customWidth="1"/>
    <col min="14338" max="14338" width="13.85546875" bestFit="1" customWidth="1"/>
    <col min="14339" max="14339" width="12.5703125" customWidth="1"/>
    <col min="14340" max="14340" width="18.7109375" bestFit="1" customWidth="1"/>
    <col min="14593" max="14593" width="44" customWidth="1"/>
    <col min="14594" max="14594" width="13.85546875" bestFit="1" customWidth="1"/>
    <col min="14595" max="14595" width="12.5703125" customWidth="1"/>
    <col min="14596" max="14596" width="18.7109375" bestFit="1" customWidth="1"/>
    <col min="14849" max="14849" width="44" customWidth="1"/>
    <col min="14850" max="14850" width="13.85546875" bestFit="1" customWidth="1"/>
    <col min="14851" max="14851" width="12.5703125" customWidth="1"/>
    <col min="14852" max="14852" width="18.7109375" bestFit="1" customWidth="1"/>
    <col min="15105" max="15105" width="44" customWidth="1"/>
    <col min="15106" max="15106" width="13.85546875" bestFit="1" customWidth="1"/>
    <col min="15107" max="15107" width="12.5703125" customWidth="1"/>
    <col min="15108" max="15108" width="18.7109375" bestFit="1" customWidth="1"/>
    <col min="15361" max="15361" width="44" customWidth="1"/>
    <col min="15362" max="15362" width="13.85546875" bestFit="1" customWidth="1"/>
    <col min="15363" max="15363" width="12.5703125" customWidth="1"/>
    <col min="15364" max="15364" width="18.7109375" bestFit="1" customWidth="1"/>
    <col min="15617" max="15617" width="44" customWidth="1"/>
    <col min="15618" max="15618" width="13.85546875" bestFit="1" customWidth="1"/>
    <col min="15619" max="15619" width="12.5703125" customWidth="1"/>
    <col min="15620" max="15620" width="18.7109375" bestFit="1" customWidth="1"/>
    <col min="15873" max="15873" width="44" customWidth="1"/>
    <col min="15874" max="15874" width="13.85546875" bestFit="1" customWidth="1"/>
    <col min="15875" max="15875" width="12.5703125" customWidth="1"/>
    <col min="15876" max="15876" width="18.7109375" bestFit="1" customWidth="1"/>
    <col min="16129" max="16129" width="44" customWidth="1"/>
    <col min="16130" max="16130" width="13.85546875" bestFit="1" customWidth="1"/>
    <col min="16131" max="16131" width="12.5703125" customWidth="1"/>
    <col min="16132" max="16132" width="18.7109375" bestFit="1" customWidth="1"/>
  </cols>
  <sheetData>
    <row r="2" spans="1:4" ht="26.25">
      <c r="A2" s="393" t="s">
        <v>921</v>
      </c>
      <c r="B2" s="393"/>
      <c r="C2" s="393"/>
      <c r="D2" s="393"/>
    </row>
    <row r="3" spans="1:4" ht="15.75" thickBot="1">
      <c r="C3" s="268" t="s">
        <v>922</v>
      </c>
      <c r="D3" s="269">
        <v>17926</v>
      </c>
    </row>
    <row r="4" spans="1:4" ht="30.75" thickBot="1">
      <c r="A4" s="270" t="s">
        <v>923</v>
      </c>
      <c r="B4" s="271" t="s">
        <v>924</v>
      </c>
      <c r="C4" s="272" t="s">
        <v>925</v>
      </c>
      <c r="D4" s="273" t="s">
        <v>926</v>
      </c>
    </row>
    <row r="5" spans="1:4">
      <c r="A5" s="274" t="s">
        <v>927</v>
      </c>
      <c r="B5" s="275">
        <v>5000</v>
      </c>
      <c r="C5" s="276">
        <f>+B5/$D$3</f>
        <v>0.27892446725426756</v>
      </c>
      <c r="D5" s="277" t="s">
        <v>928</v>
      </c>
    </row>
    <row r="6" spans="1:4">
      <c r="A6" s="278" t="s">
        <v>929</v>
      </c>
      <c r="B6" s="279">
        <v>590000</v>
      </c>
      <c r="C6" s="280">
        <f t="shared" ref="C6:C70" si="0">+B6/$D$3</f>
        <v>32.913087136003568</v>
      </c>
      <c r="D6" s="281" t="s">
        <v>930</v>
      </c>
    </row>
    <row r="7" spans="1:4">
      <c r="A7" s="278" t="s">
        <v>931</v>
      </c>
      <c r="B7" s="279">
        <v>190000</v>
      </c>
      <c r="C7" s="280">
        <f t="shared" si="0"/>
        <v>10.599129755662167</v>
      </c>
      <c r="D7" s="281" t="s">
        <v>928</v>
      </c>
    </row>
    <row r="8" spans="1:4">
      <c r="A8" s="282" t="s">
        <v>510</v>
      </c>
      <c r="B8" s="279">
        <v>25000</v>
      </c>
      <c r="C8" s="280">
        <f t="shared" si="0"/>
        <v>1.3946223362713377</v>
      </c>
      <c r="D8" s="281"/>
    </row>
    <row r="9" spans="1:4">
      <c r="A9" s="278" t="s">
        <v>932</v>
      </c>
      <c r="B9" s="279">
        <v>180000</v>
      </c>
      <c r="C9" s="280">
        <f t="shared" si="0"/>
        <v>10.041280821153631</v>
      </c>
      <c r="D9" s="281"/>
    </row>
    <row r="10" spans="1:4">
      <c r="A10" s="278" t="s">
        <v>933</v>
      </c>
      <c r="B10" s="283">
        <v>600000</v>
      </c>
      <c r="C10" s="280">
        <f t="shared" si="0"/>
        <v>33.470936070512103</v>
      </c>
      <c r="D10" s="281"/>
    </row>
    <row r="11" spans="1:4">
      <c r="A11" s="278" t="s">
        <v>934</v>
      </c>
      <c r="B11" s="279">
        <v>40000</v>
      </c>
      <c r="C11" s="280">
        <f t="shared" si="0"/>
        <v>2.2313957380341405</v>
      </c>
      <c r="D11" s="281" t="s">
        <v>928</v>
      </c>
    </row>
    <row r="12" spans="1:4">
      <c r="A12" s="278" t="s">
        <v>935</v>
      </c>
      <c r="B12" s="283">
        <v>4905635</v>
      </c>
      <c r="C12" s="280">
        <f t="shared" si="0"/>
        <v>273.66032578377775</v>
      </c>
      <c r="D12" s="281"/>
    </row>
    <row r="13" spans="1:4">
      <c r="A13" s="278" t="s">
        <v>936</v>
      </c>
      <c r="B13" s="279">
        <v>25000</v>
      </c>
      <c r="C13" s="280">
        <f t="shared" si="0"/>
        <v>1.3946223362713377</v>
      </c>
      <c r="D13" s="281" t="s">
        <v>937</v>
      </c>
    </row>
    <row r="14" spans="1:4">
      <c r="A14" s="278" t="s">
        <v>938</v>
      </c>
      <c r="B14" s="279">
        <v>10000</v>
      </c>
      <c r="C14" s="280">
        <f t="shared" si="0"/>
        <v>0.55784893450853512</v>
      </c>
      <c r="D14" s="281" t="s">
        <v>928</v>
      </c>
    </row>
    <row r="15" spans="1:4">
      <c r="A15" s="278" t="s">
        <v>939</v>
      </c>
      <c r="B15" s="279">
        <v>25000</v>
      </c>
      <c r="C15" s="280">
        <f t="shared" si="0"/>
        <v>1.3946223362713377</v>
      </c>
      <c r="D15" s="281" t="s">
        <v>937</v>
      </c>
    </row>
    <row r="16" spans="1:4">
      <c r="A16" s="278" t="s">
        <v>940</v>
      </c>
      <c r="B16" s="284">
        <v>20000</v>
      </c>
      <c r="C16" s="280">
        <f t="shared" si="0"/>
        <v>1.1156978690170702</v>
      </c>
      <c r="D16" s="281" t="s">
        <v>937</v>
      </c>
    </row>
    <row r="17" spans="1:4">
      <c r="A17" s="278" t="s">
        <v>941</v>
      </c>
      <c r="B17" s="284">
        <v>20000</v>
      </c>
      <c r="C17" s="280">
        <f t="shared" si="0"/>
        <v>1.1156978690170702</v>
      </c>
      <c r="D17" s="281" t="s">
        <v>937</v>
      </c>
    </row>
    <row r="18" spans="1:4">
      <c r="A18" s="278" t="s">
        <v>942</v>
      </c>
      <c r="B18" s="284">
        <v>15000</v>
      </c>
      <c r="C18" s="280">
        <f t="shared" si="0"/>
        <v>0.83677340176280268</v>
      </c>
      <c r="D18" s="281" t="s">
        <v>930</v>
      </c>
    </row>
    <row r="19" spans="1:4">
      <c r="A19" s="278" t="s">
        <v>943</v>
      </c>
      <c r="B19" s="279">
        <v>35000</v>
      </c>
      <c r="C19" s="280">
        <f t="shared" si="0"/>
        <v>1.9524712707798728</v>
      </c>
      <c r="D19" s="281" t="s">
        <v>928</v>
      </c>
    </row>
    <row r="20" spans="1:4">
      <c r="A20" s="278" t="s">
        <v>944</v>
      </c>
      <c r="B20" s="279">
        <v>23000</v>
      </c>
      <c r="C20" s="280">
        <f t="shared" si="0"/>
        <v>1.2830525493696308</v>
      </c>
      <c r="D20" s="281" t="s">
        <v>930</v>
      </c>
    </row>
    <row r="21" spans="1:4">
      <c r="A21" s="278" t="s">
        <v>945</v>
      </c>
      <c r="B21" s="279">
        <v>90000</v>
      </c>
      <c r="C21" s="280">
        <f t="shared" si="0"/>
        <v>5.0206404105768154</v>
      </c>
      <c r="D21" s="281" t="s">
        <v>928</v>
      </c>
    </row>
    <row r="22" spans="1:4">
      <c r="A22" s="278" t="s">
        <v>946</v>
      </c>
      <c r="B22" s="279">
        <v>10000</v>
      </c>
      <c r="C22" s="280">
        <f t="shared" si="0"/>
        <v>0.55784893450853512</v>
      </c>
      <c r="D22" s="281" t="s">
        <v>928</v>
      </c>
    </row>
    <row r="23" spans="1:4">
      <c r="A23" s="278" t="s">
        <v>947</v>
      </c>
      <c r="B23" s="279">
        <v>5000</v>
      </c>
      <c r="C23" s="280">
        <f t="shared" si="0"/>
        <v>0.27892446725426756</v>
      </c>
      <c r="D23" s="281" t="s">
        <v>928</v>
      </c>
    </row>
    <row r="24" spans="1:4">
      <c r="A24" s="278" t="s">
        <v>948</v>
      </c>
      <c r="B24" s="279">
        <v>3000</v>
      </c>
      <c r="C24" s="280">
        <f t="shared" si="0"/>
        <v>0.16735468035256051</v>
      </c>
      <c r="D24" s="281" t="s">
        <v>937</v>
      </c>
    </row>
    <row r="25" spans="1:4">
      <c r="A25" s="278" t="s">
        <v>949</v>
      </c>
      <c r="B25" s="279">
        <v>35000</v>
      </c>
      <c r="C25" s="280">
        <f t="shared" si="0"/>
        <v>1.9524712707798728</v>
      </c>
      <c r="D25" s="281" t="s">
        <v>930</v>
      </c>
    </row>
    <row r="26" spans="1:4">
      <c r="A26" s="278" t="s">
        <v>950</v>
      </c>
      <c r="B26" s="279">
        <v>20000</v>
      </c>
      <c r="C26" s="280">
        <f t="shared" si="0"/>
        <v>1.1156978690170702</v>
      </c>
      <c r="D26" s="281" t="s">
        <v>928</v>
      </c>
    </row>
    <row r="27" spans="1:4">
      <c r="A27" s="278" t="s">
        <v>951</v>
      </c>
      <c r="B27" s="279">
        <v>15000</v>
      </c>
      <c r="C27" s="280">
        <f t="shared" si="0"/>
        <v>0.83677340176280268</v>
      </c>
      <c r="D27" s="281"/>
    </row>
    <row r="28" spans="1:4">
      <c r="A28" s="278" t="s">
        <v>952</v>
      </c>
      <c r="B28" s="279">
        <v>21500</v>
      </c>
      <c r="C28" s="280">
        <f t="shared" si="0"/>
        <v>1.1993752091933505</v>
      </c>
      <c r="D28" s="281" t="s">
        <v>953</v>
      </c>
    </row>
    <row r="29" spans="1:4">
      <c r="A29" s="285" t="s">
        <v>954</v>
      </c>
      <c r="B29" s="279">
        <v>26000</v>
      </c>
      <c r="C29" s="280">
        <f>+B29/$D$3</f>
        <v>1.4504072297221913</v>
      </c>
      <c r="D29" s="281" t="s">
        <v>953</v>
      </c>
    </row>
    <row r="30" spans="1:4">
      <c r="A30" s="278" t="s">
        <v>955</v>
      </c>
      <c r="B30" s="279">
        <v>70000</v>
      </c>
      <c r="C30" s="280">
        <f t="shared" si="0"/>
        <v>3.9049425415597456</v>
      </c>
      <c r="D30" s="281" t="s">
        <v>928</v>
      </c>
    </row>
    <row r="31" spans="1:4">
      <c r="A31" s="278" t="s">
        <v>956</v>
      </c>
      <c r="B31" s="284">
        <v>230000</v>
      </c>
      <c r="C31" s="280">
        <f t="shared" si="0"/>
        <v>12.830525493696307</v>
      </c>
      <c r="D31" s="281" t="s">
        <v>928</v>
      </c>
    </row>
    <row r="32" spans="1:4">
      <c r="A32" s="285" t="s">
        <v>957</v>
      </c>
      <c r="B32" s="283">
        <v>1280650</v>
      </c>
      <c r="C32" s="280">
        <f t="shared" si="0"/>
        <v>71.440923797835552</v>
      </c>
      <c r="D32" s="281"/>
    </row>
    <row r="33" spans="1:4">
      <c r="A33" s="285" t="s">
        <v>958</v>
      </c>
      <c r="B33" s="283">
        <v>1280650</v>
      </c>
      <c r="C33" s="280">
        <f t="shared" si="0"/>
        <v>71.440923797835552</v>
      </c>
      <c r="D33" s="281"/>
    </row>
    <row r="34" spans="1:4">
      <c r="A34" s="285" t="s">
        <v>959</v>
      </c>
      <c r="B34" s="283"/>
      <c r="C34" s="280">
        <v>102</v>
      </c>
      <c r="D34" s="281"/>
    </row>
    <row r="35" spans="1:4">
      <c r="A35" s="285" t="s">
        <v>960</v>
      </c>
      <c r="B35" s="283"/>
      <c r="C35" s="280">
        <v>173</v>
      </c>
      <c r="D35" s="281"/>
    </row>
    <row r="36" spans="1:4">
      <c r="A36" s="278" t="s">
        <v>961</v>
      </c>
      <c r="B36" s="279">
        <v>25000</v>
      </c>
      <c r="C36" s="280">
        <f t="shared" si="0"/>
        <v>1.3946223362713377</v>
      </c>
      <c r="D36" s="281" t="s">
        <v>928</v>
      </c>
    </row>
    <row r="37" spans="1:4">
      <c r="A37" s="278" t="s">
        <v>962</v>
      </c>
      <c r="B37" s="279">
        <v>50000</v>
      </c>
      <c r="C37" s="280">
        <f t="shared" si="0"/>
        <v>2.7892446725426754</v>
      </c>
      <c r="D37" s="281" t="s">
        <v>928</v>
      </c>
    </row>
    <row r="38" spans="1:4">
      <c r="A38" s="278" t="s">
        <v>963</v>
      </c>
      <c r="B38" s="279">
        <v>8000</v>
      </c>
      <c r="C38" s="280">
        <f t="shared" si="0"/>
        <v>0.44627914760682807</v>
      </c>
      <c r="D38" s="281" t="s">
        <v>928</v>
      </c>
    </row>
    <row r="39" spans="1:4">
      <c r="A39" s="278" t="s">
        <v>964</v>
      </c>
      <c r="B39" s="279">
        <v>5000</v>
      </c>
      <c r="C39" s="280">
        <f t="shared" si="0"/>
        <v>0.27892446725426756</v>
      </c>
      <c r="D39" s="281" t="s">
        <v>928</v>
      </c>
    </row>
    <row r="40" spans="1:4">
      <c r="A40" s="278" t="s">
        <v>965</v>
      </c>
      <c r="B40" s="279">
        <v>3000</v>
      </c>
      <c r="C40" s="280">
        <f t="shared" si="0"/>
        <v>0.16735468035256051</v>
      </c>
      <c r="D40" s="281" t="s">
        <v>928</v>
      </c>
    </row>
    <row r="41" spans="1:4">
      <c r="A41" s="278" t="s">
        <v>966</v>
      </c>
      <c r="B41" s="279">
        <v>1000</v>
      </c>
      <c r="C41" s="280">
        <f t="shared" si="0"/>
        <v>5.5784893450853509E-2</v>
      </c>
      <c r="D41" s="281" t="s">
        <v>930</v>
      </c>
    </row>
    <row r="42" spans="1:4">
      <c r="A42" s="278" t="s">
        <v>473</v>
      </c>
      <c r="B42" s="279">
        <v>5000</v>
      </c>
      <c r="C42" s="280">
        <f t="shared" si="0"/>
        <v>0.27892446725426756</v>
      </c>
      <c r="D42" s="281" t="s">
        <v>937</v>
      </c>
    </row>
    <row r="43" spans="1:4">
      <c r="A43" s="278" t="s">
        <v>967</v>
      </c>
      <c r="B43" s="279">
        <v>10000</v>
      </c>
      <c r="C43" s="280">
        <f t="shared" si="0"/>
        <v>0.55784893450853512</v>
      </c>
      <c r="D43" s="281" t="s">
        <v>930</v>
      </c>
    </row>
    <row r="44" spans="1:4">
      <c r="A44" s="278" t="s">
        <v>968</v>
      </c>
      <c r="B44" s="283">
        <v>365900</v>
      </c>
      <c r="C44" s="280">
        <f t="shared" si="0"/>
        <v>20.411692513667298</v>
      </c>
      <c r="D44" s="281"/>
    </row>
    <row r="45" spans="1:4">
      <c r="A45" s="278" t="s">
        <v>969</v>
      </c>
      <c r="B45" s="279">
        <v>35000</v>
      </c>
      <c r="C45" s="280">
        <f t="shared" si="0"/>
        <v>1.9524712707798728</v>
      </c>
      <c r="D45" s="281" t="s">
        <v>928</v>
      </c>
    </row>
    <row r="46" spans="1:4">
      <c r="A46" s="278" t="s">
        <v>970</v>
      </c>
      <c r="B46" s="279">
        <v>15000</v>
      </c>
      <c r="C46" s="280">
        <f t="shared" si="0"/>
        <v>0.83677340176280268</v>
      </c>
      <c r="D46" s="281" t="s">
        <v>928</v>
      </c>
    </row>
    <row r="47" spans="1:4">
      <c r="A47" s="278" t="s">
        <v>971</v>
      </c>
      <c r="B47" s="284">
        <v>550000</v>
      </c>
      <c r="C47" s="280">
        <f t="shared" si="0"/>
        <v>30.681691397969431</v>
      </c>
      <c r="D47" s="281" t="s">
        <v>928</v>
      </c>
    </row>
    <row r="48" spans="1:4">
      <c r="A48" s="278" t="s">
        <v>972</v>
      </c>
      <c r="B48" s="284">
        <v>190000</v>
      </c>
      <c r="C48" s="280">
        <f t="shared" si="0"/>
        <v>10.599129755662167</v>
      </c>
      <c r="D48" s="281" t="s">
        <v>928</v>
      </c>
    </row>
    <row r="49" spans="1:4">
      <c r="A49" s="285" t="s">
        <v>973</v>
      </c>
      <c r="B49" s="279">
        <v>45000</v>
      </c>
      <c r="C49" s="280">
        <f t="shared" si="0"/>
        <v>2.5103202052884077</v>
      </c>
      <c r="D49" s="281"/>
    </row>
    <row r="50" spans="1:4">
      <c r="A50" s="285" t="s">
        <v>974</v>
      </c>
      <c r="B50" s="279">
        <v>90000</v>
      </c>
      <c r="C50" s="280">
        <f t="shared" si="0"/>
        <v>5.0206404105768154</v>
      </c>
      <c r="D50" s="281"/>
    </row>
    <row r="51" spans="1:4">
      <c r="A51" s="278" t="s">
        <v>975</v>
      </c>
      <c r="B51" s="279">
        <v>5000</v>
      </c>
      <c r="C51" s="280">
        <f t="shared" si="0"/>
        <v>0.27892446725426756</v>
      </c>
      <c r="D51" s="281" t="s">
        <v>928</v>
      </c>
    </row>
    <row r="52" spans="1:4">
      <c r="A52" s="278" t="s">
        <v>976</v>
      </c>
      <c r="B52" s="279">
        <v>35000</v>
      </c>
      <c r="C52" s="280">
        <f t="shared" si="0"/>
        <v>1.9524712707798728</v>
      </c>
      <c r="D52" s="281" t="s">
        <v>928</v>
      </c>
    </row>
    <row r="53" spans="1:4">
      <c r="A53" s="278" t="s">
        <v>977</v>
      </c>
      <c r="B53" s="279">
        <v>13000</v>
      </c>
      <c r="C53" s="280">
        <f t="shared" si="0"/>
        <v>0.72520361486109564</v>
      </c>
      <c r="D53" s="281" t="s">
        <v>930</v>
      </c>
    </row>
    <row r="54" spans="1:4">
      <c r="A54" s="278" t="s">
        <v>978</v>
      </c>
      <c r="B54" s="279">
        <v>950000</v>
      </c>
      <c r="C54" s="280">
        <f t="shared" si="0"/>
        <v>52.99564877831083</v>
      </c>
      <c r="D54" s="281" t="s">
        <v>930</v>
      </c>
    </row>
    <row r="55" spans="1:4">
      <c r="A55" s="278" t="s">
        <v>979</v>
      </c>
      <c r="B55" s="279">
        <v>350000</v>
      </c>
      <c r="C55" s="280">
        <f t="shared" si="0"/>
        <v>19.524712707798727</v>
      </c>
      <c r="D55" s="281" t="s">
        <v>928</v>
      </c>
    </row>
    <row r="56" spans="1:4">
      <c r="A56" s="278" t="s">
        <v>980</v>
      </c>
      <c r="B56" s="279">
        <v>825000</v>
      </c>
      <c r="C56" s="280">
        <f t="shared" si="0"/>
        <v>46.022537096954146</v>
      </c>
      <c r="D56" s="281" t="s">
        <v>937</v>
      </c>
    </row>
    <row r="57" spans="1:4">
      <c r="A57" s="278" t="s">
        <v>981</v>
      </c>
      <c r="B57" s="279">
        <v>45000</v>
      </c>
      <c r="C57" s="280">
        <f t="shared" si="0"/>
        <v>2.5103202052884077</v>
      </c>
      <c r="D57" s="281" t="s">
        <v>928</v>
      </c>
    </row>
    <row r="58" spans="1:4">
      <c r="A58" s="278" t="s">
        <v>982</v>
      </c>
      <c r="B58" s="279">
        <v>25000</v>
      </c>
      <c r="C58" s="280">
        <f t="shared" si="0"/>
        <v>1.3946223362713377</v>
      </c>
      <c r="D58" s="281" t="s">
        <v>928</v>
      </c>
    </row>
    <row r="59" spans="1:4">
      <c r="A59" s="278" t="s">
        <v>983</v>
      </c>
      <c r="B59" s="279">
        <v>625000</v>
      </c>
      <c r="C59" s="280">
        <f t="shared" si="0"/>
        <v>34.865558406783443</v>
      </c>
      <c r="D59" s="281" t="s">
        <v>928</v>
      </c>
    </row>
    <row r="60" spans="1:4">
      <c r="A60" s="278" t="s">
        <v>984</v>
      </c>
      <c r="B60" s="279">
        <v>110000</v>
      </c>
      <c r="C60" s="280">
        <f t="shared" si="0"/>
        <v>6.1363382795938861</v>
      </c>
      <c r="D60" s="281" t="s">
        <v>937</v>
      </c>
    </row>
    <row r="61" spans="1:4">
      <c r="A61" s="278" t="s">
        <v>985</v>
      </c>
      <c r="B61" s="279">
        <v>500000</v>
      </c>
      <c r="C61" s="280">
        <f t="shared" si="0"/>
        <v>27.892446725426755</v>
      </c>
      <c r="D61" s="281" t="s">
        <v>928</v>
      </c>
    </row>
    <row r="62" spans="1:4">
      <c r="A62" s="278" t="s">
        <v>986</v>
      </c>
      <c r="B62" s="279">
        <v>40000</v>
      </c>
      <c r="C62" s="280">
        <f t="shared" si="0"/>
        <v>2.2313957380341405</v>
      </c>
      <c r="D62" s="281" t="s">
        <v>928</v>
      </c>
    </row>
    <row r="63" spans="1:4">
      <c r="A63" s="278" t="s">
        <v>987</v>
      </c>
      <c r="B63" s="283"/>
      <c r="C63" s="280">
        <f>+'[1]Detailed assumptions-anylton'!S8</f>
        <v>5.6481734535847679</v>
      </c>
      <c r="D63" s="281"/>
    </row>
    <row r="64" spans="1:4">
      <c r="A64" s="278" t="s">
        <v>988</v>
      </c>
      <c r="B64" s="279">
        <v>2970000</v>
      </c>
      <c r="C64" s="280">
        <f t="shared" si="0"/>
        <v>165.68113354903491</v>
      </c>
      <c r="D64" s="281" t="s">
        <v>989</v>
      </c>
    </row>
    <row r="65" spans="1:4">
      <c r="A65" s="278" t="s">
        <v>990</v>
      </c>
      <c r="B65" s="286">
        <v>6270000</v>
      </c>
      <c r="C65" s="280">
        <f t="shared" si="0"/>
        <v>349.77128193685149</v>
      </c>
      <c r="D65" s="281"/>
    </row>
    <row r="66" spans="1:4">
      <c r="A66" s="278" t="s">
        <v>991</v>
      </c>
      <c r="B66" s="279">
        <v>3760000</v>
      </c>
      <c r="C66" s="287">
        <f t="shared" si="0"/>
        <v>209.75119937520918</v>
      </c>
      <c r="D66" s="281" t="s">
        <v>930</v>
      </c>
    </row>
    <row r="67" spans="1:4">
      <c r="A67" s="288" t="s">
        <v>992</v>
      </c>
      <c r="B67" s="289">
        <v>320000</v>
      </c>
      <c r="C67" s="287">
        <f t="shared" si="0"/>
        <v>17.851165904273124</v>
      </c>
      <c r="D67" s="290" t="s">
        <v>993</v>
      </c>
    </row>
    <row r="68" spans="1:4">
      <c r="A68" s="288" t="s">
        <v>994</v>
      </c>
      <c r="B68" s="289">
        <v>80000</v>
      </c>
      <c r="C68" s="287">
        <f t="shared" si="0"/>
        <v>4.462791476068281</v>
      </c>
      <c r="D68" s="290" t="s">
        <v>993</v>
      </c>
    </row>
    <row r="69" spans="1:4">
      <c r="A69" s="288" t="s">
        <v>995</v>
      </c>
      <c r="B69" s="289">
        <v>800000</v>
      </c>
      <c r="C69" s="287">
        <f t="shared" si="0"/>
        <v>44.627914760682806</v>
      </c>
      <c r="D69" s="290"/>
    </row>
    <row r="70" spans="1:4">
      <c r="A70" s="288" t="s">
        <v>996</v>
      </c>
      <c r="B70" s="289">
        <v>10000</v>
      </c>
      <c r="C70" s="287">
        <f t="shared" si="0"/>
        <v>0.55784893450853512</v>
      </c>
      <c r="D70" s="281" t="s">
        <v>930</v>
      </c>
    </row>
    <row r="71" spans="1:4" ht="15.75" thickBot="1">
      <c r="A71" s="291"/>
      <c r="B71" s="292"/>
      <c r="C71" s="293"/>
      <c r="D71" s="294"/>
    </row>
  </sheetData>
  <mergeCells count="1">
    <mergeCell ref="A2:D2"/>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4:J223"/>
  <sheetViews>
    <sheetView showGridLines="0" topLeftCell="A153" zoomScaleNormal="100" workbookViewId="0">
      <selection activeCell="D155" sqref="D155"/>
    </sheetView>
  </sheetViews>
  <sheetFormatPr defaultRowHeight="15"/>
  <cols>
    <col min="1" max="1" width="4" customWidth="1"/>
    <col min="3" max="3" width="32.85546875" customWidth="1"/>
    <col min="4" max="4" width="30" customWidth="1"/>
    <col min="5" max="5" width="9.42578125" bestFit="1" customWidth="1"/>
    <col min="10" max="10" width="11.7109375" bestFit="1" customWidth="1"/>
  </cols>
  <sheetData>
    <row r="4" spans="2:10" ht="25.5">
      <c r="C4" s="257" t="s">
        <v>914</v>
      </c>
      <c r="D4" s="262" t="s">
        <v>267</v>
      </c>
      <c r="E4" s="257" t="s">
        <v>272</v>
      </c>
      <c r="F4" s="257" t="s">
        <v>271</v>
      </c>
      <c r="G4" s="257" t="s">
        <v>270</v>
      </c>
      <c r="H4" s="257" t="s">
        <v>269</v>
      </c>
      <c r="I4" s="258" t="s">
        <v>268</v>
      </c>
      <c r="J4" s="257" t="s">
        <v>414</v>
      </c>
    </row>
    <row r="5" spans="2:10">
      <c r="B5" s="254" t="s">
        <v>276</v>
      </c>
      <c r="C5" s="254" t="s">
        <v>397</v>
      </c>
      <c r="D5" s="263"/>
      <c r="E5" s="255">
        <f t="shared" ref="E5:I5" si="0">SUM(E6:E29)</f>
        <v>89952.147500000006</v>
      </c>
      <c r="F5" s="255">
        <f t="shared" si="0"/>
        <v>92963.787500000006</v>
      </c>
      <c r="G5" s="255">
        <f t="shared" si="0"/>
        <v>195867.46000000002</v>
      </c>
      <c r="H5" s="255">
        <f t="shared" si="0"/>
        <v>77645.61</v>
      </c>
      <c r="I5" s="255">
        <f t="shared" si="0"/>
        <v>82878.880000000005</v>
      </c>
      <c r="J5" s="255">
        <f>SUM(J6:J29)</f>
        <v>539307.88500000001</v>
      </c>
    </row>
    <row r="6" spans="2:10" ht="25.5">
      <c r="B6" s="10" t="str">
        <f>'PEN Final Ajustado 03-07'!B5</f>
        <v>1.1.1</v>
      </c>
      <c r="C6" s="14" t="str">
        <f>'PEN Final Ajustado 03-07'!C5</f>
        <v xml:space="preserve">Elaborar e imprimir edivulgar plano de advocacia,  </v>
      </c>
      <c r="D6" s="43" t="str">
        <f>'PEN Final Ajustado 03-07'!H5</f>
        <v>Numero de documentos elaborados e disponíveis</v>
      </c>
      <c r="E6" s="78">
        <f>'PEN Final Ajustado 03-07'!J5</f>
        <v>0</v>
      </c>
      <c r="F6" s="78">
        <f>'PEN Final Ajustado 03-07'!K5</f>
        <v>0</v>
      </c>
      <c r="G6" s="78">
        <f>'PEN Final Ajustado 03-07'!L5</f>
        <v>7778.35</v>
      </c>
      <c r="H6" s="78">
        <f>'PEN Final Ajustado 03-07'!M5</f>
        <v>0</v>
      </c>
      <c r="I6" s="78">
        <f>'PEN Final Ajustado 03-07'!N5</f>
        <v>0</v>
      </c>
      <c r="J6" s="78">
        <f>SUM(E6:I6)</f>
        <v>7778.35</v>
      </c>
    </row>
    <row r="7" spans="2:10" ht="25.5">
      <c r="B7" s="11" t="str">
        <f>'PEN Final Ajustado 03-07'!B6</f>
        <v>1.1.2</v>
      </c>
      <c r="C7" s="11" t="str">
        <f>'PEN Final Ajustado 03-07'!C6</f>
        <v>Elaborar/Rever e imprimir  plano anual operacional de implementação</v>
      </c>
      <c r="D7" s="43" t="str">
        <f>'PEN Final Ajustado 03-07'!H6</f>
        <v>Numero de documentos elaborados e disponíveis</v>
      </c>
      <c r="E7" s="152">
        <f>'PEN Final Ajustado 03-07'!J6</f>
        <v>6177.64</v>
      </c>
      <c r="F7" s="78">
        <f>'PEN Final Ajustado 03-07'!K6</f>
        <v>6177.64</v>
      </c>
      <c r="G7" s="78">
        <f>'PEN Final Ajustado 03-07'!L6</f>
        <v>6177.64</v>
      </c>
      <c r="H7" s="78">
        <f>'PEN Final Ajustado 03-07'!M6</f>
        <v>6177.64</v>
      </c>
      <c r="I7" s="78">
        <f>'PEN Final Ajustado 03-07'!N6</f>
        <v>6177.64</v>
      </c>
      <c r="J7" s="78">
        <f t="shared" ref="J7:J29" si="1">SUM(E7:I7)</f>
        <v>30888.2</v>
      </c>
    </row>
    <row r="8" spans="2:10" ht="25.5">
      <c r="B8" s="11" t="str">
        <f>'PEN Final Ajustado 03-07'!B7</f>
        <v>1.1.3</v>
      </c>
      <c r="C8" s="11" t="str">
        <f>'PEN Final Ajustado 03-07'!C7</f>
        <v>Elaborar  e imprimir  plano de mobilização da recurso</v>
      </c>
      <c r="D8" s="43" t="str">
        <f>'PEN Final Ajustado 03-07'!H7</f>
        <v>Numero de documentos elaborados e disponíveis</v>
      </c>
      <c r="E8" s="152">
        <f>'PEN Final Ajustado 03-07'!J7</f>
        <v>0</v>
      </c>
      <c r="F8" s="78">
        <f>'PEN Final Ajustado 03-07'!K7</f>
        <v>0</v>
      </c>
      <c r="G8" s="78">
        <f>'PEN Final Ajustado 03-07'!L7</f>
        <v>3315.83</v>
      </c>
      <c r="H8" s="78">
        <f>'PEN Final Ajustado 03-07'!M7</f>
        <v>0</v>
      </c>
      <c r="I8" s="78">
        <f>'PEN Final Ajustado 03-07'!N7</f>
        <v>3315.83</v>
      </c>
      <c r="J8" s="78">
        <f t="shared" si="1"/>
        <v>6631.66</v>
      </c>
    </row>
    <row r="9" spans="2:10" ht="22.5">
      <c r="B9" s="11" t="str">
        <f>'PEN Final Ajustado 03-07'!B8</f>
        <v>1.1.4</v>
      </c>
      <c r="C9" s="11" t="str">
        <f>'PEN Final Ajustado 03-07'!C8</f>
        <v>Elaborar  e imprimir  plano de formação</v>
      </c>
      <c r="D9" s="43" t="str">
        <f>'PEN Final Ajustado 03-07'!H8</f>
        <v>Numero de documentos elaborados e disponíveis</v>
      </c>
      <c r="E9" s="152">
        <f>'PEN Final Ajustado 03-07'!J8</f>
        <v>1905.11</v>
      </c>
      <c r="F9" s="78">
        <f>'PEN Final Ajustado 03-07'!K8</f>
        <v>1905.11</v>
      </c>
      <c r="G9" s="78">
        <f>'PEN Final Ajustado 03-07'!L8</f>
        <v>1905.11</v>
      </c>
      <c r="H9" s="78">
        <f>'PEN Final Ajustado 03-07'!M8</f>
        <v>1905.11</v>
      </c>
      <c r="I9" s="78">
        <f>'PEN Final Ajustado 03-07'!N8</f>
        <v>1905.11</v>
      </c>
      <c r="J9" s="78">
        <f t="shared" si="1"/>
        <v>9525.5499999999993</v>
      </c>
    </row>
    <row r="10" spans="2:10" ht="22.5">
      <c r="B10" s="11" t="str">
        <f>'PEN Final Ajustado 03-07'!B9</f>
        <v>1.1.5</v>
      </c>
      <c r="C10" s="11" t="str">
        <f>'PEN Final Ajustado 03-07'!C9</f>
        <v>Elaborar  e imprimir  plano TB MR</v>
      </c>
      <c r="D10" s="43" t="str">
        <f>'PEN Final Ajustado 03-07'!H9</f>
        <v>Numero de documentos elaborados e disponíveis</v>
      </c>
      <c r="E10" s="152">
        <f>'PEN Final Ajustado 03-07'!J9</f>
        <v>2951.1100000000006</v>
      </c>
      <c r="F10" s="78">
        <f>'PEN Final Ajustado 03-07'!K9</f>
        <v>2951.1100000000006</v>
      </c>
      <c r="G10" s="78">
        <f>'PEN Final Ajustado 03-07'!L9</f>
        <v>2951.1100000000006</v>
      </c>
      <c r="H10" s="78">
        <f>'PEN Final Ajustado 03-07'!M9</f>
        <v>2951.1100000000006</v>
      </c>
      <c r="I10" s="78">
        <f>'PEN Final Ajustado 03-07'!N9</f>
        <v>2951.1100000000006</v>
      </c>
      <c r="J10" s="78">
        <f t="shared" si="1"/>
        <v>14755.550000000003</v>
      </c>
    </row>
    <row r="11" spans="2:10" ht="25.5">
      <c r="B11" s="11" t="str">
        <f>'PEN Final Ajustado 03-07'!B10</f>
        <v>1.1.6</v>
      </c>
      <c r="C11" s="11" t="str">
        <f>'PEN Final Ajustado 03-07'!C10</f>
        <v xml:space="preserve">Elaborar  e imprimir  manual de procedimento administrativo, </v>
      </c>
      <c r="D11" s="43" t="str">
        <f>'PEN Final Ajustado 03-07'!H10</f>
        <v>Numero de documentos elaborados e disponíveis</v>
      </c>
      <c r="E11" s="152">
        <f>'PEN Final Ajustado 03-07'!J10</f>
        <v>2224.0974999999999</v>
      </c>
      <c r="F11" s="78">
        <f>'PEN Final Ajustado 03-07'!K10</f>
        <v>0</v>
      </c>
      <c r="G11" s="78">
        <f>'PEN Final Ajustado 03-07'!L10</f>
        <v>0</v>
      </c>
      <c r="H11" s="78">
        <f>'PEN Final Ajustado 03-07'!M10</f>
        <v>0</v>
      </c>
      <c r="I11" s="78">
        <f>'PEN Final Ajustado 03-07'!N10</f>
        <v>0</v>
      </c>
      <c r="J11" s="78">
        <f t="shared" si="1"/>
        <v>2224.0974999999999</v>
      </c>
    </row>
    <row r="12" spans="2:10" ht="25.5">
      <c r="B12" s="11" t="str">
        <f>'PEN Final Ajustado 03-07'!B11</f>
        <v>1.1.7</v>
      </c>
      <c r="C12" s="11" t="str">
        <f>'PEN Final Ajustado 03-07'!C11</f>
        <v xml:space="preserve">Elaborar  e imprimir  politica sobre a gestão de medicamentos, </v>
      </c>
      <c r="D12" s="43" t="str">
        <f>'PEN Final Ajustado 03-07'!H11</f>
        <v>Numero de documentos elaborados e disponíveis</v>
      </c>
      <c r="E12" s="152">
        <f>'PEN Final Ajustado 03-07'!J11</f>
        <v>0</v>
      </c>
      <c r="F12" s="78">
        <f>'PEN Final Ajustado 03-07'!K11</f>
        <v>0</v>
      </c>
      <c r="G12" s="78">
        <f>'PEN Final Ajustado 03-07'!L11</f>
        <v>4963.0599999999995</v>
      </c>
      <c r="H12" s="78">
        <f>'PEN Final Ajustado 03-07'!M11</f>
        <v>0</v>
      </c>
      <c r="I12" s="78">
        <f>'PEN Final Ajustado 03-07'!N11</f>
        <v>0</v>
      </c>
      <c r="J12" s="78">
        <f t="shared" si="1"/>
        <v>4963.0599999999995</v>
      </c>
    </row>
    <row r="13" spans="2:10" ht="38.25">
      <c r="B13" s="11" t="str">
        <f>'PEN Final Ajustado 03-07'!B12</f>
        <v>1.1.7.1</v>
      </c>
      <c r="C13" s="11" t="str">
        <f>'PEN Final Ajustado 03-07'!C12</f>
        <v>Multiplicar e disseminar 100 exemplares de modulo de formação em manejo de casos de TB</v>
      </c>
      <c r="D13" s="43">
        <f>'PEN Final Ajustado 03-07'!H12</f>
        <v>0</v>
      </c>
      <c r="E13" s="152">
        <f>'PEN Final Ajustado 03-07'!J12</f>
        <v>0</v>
      </c>
      <c r="F13" s="78">
        <f>'PEN Final Ajustado 03-07'!K12</f>
        <v>0</v>
      </c>
      <c r="G13" s="78">
        <f>'PEN Final Ajustado 03-07'!L12</f>
        <v>582.78000000000009</v>
      </c>
      <c r="H13" s="78">
        <f>'PEN Final Ajustado 03-07'!M12</f>
        <v>0</v>
      </c>
      <c r="I13" s="78">
        <f>'PEN Final Ajustado 03-07'!N12</f>
        <v>0</v>
      </c>
      <c r="J13" s="78">
        <f t="shared" si="1"/>
        <v>582.78000000000009</v>
      </c>
    </row>
    <row r="14" spans="2:10" ht="25.5">
      <c r="B14" s="11" t="str">
        <f>'PEN Final Ajustado 03-07'!B13</f>
        <v>1.1.8</v>
      </c>
      <c r="C14" s="11" t="str">
        <f>'PEN Final Ajustado 03-07'!C13</f>
        <v xml:space="preserve">Revisão  e impressãodo guia de supervisão) </v>
      </c>
      <c r="D14" s="43" t="str">
        <f>'PEN Final Ajustado 03-07'!H13</f>
        <v>Numero de documentos elaborados e disponíveis</v>
      </c>
      <c r="E14" s="152">
        <f>'PEN Final Ajustado 03-07'!J13</f>
        <v>0</v>
      </c>
      <c r="F14" s="78">
        <f>'PEN Final Ajustado 03-07'!K13</f>
        <v>0</v>
      </c>
      <c r="G14" s="78">
        <f>'PEN Final Ajustado 03-07'!L13</f>
        <v>0</v>
      </c>
      <c r="H14" s="78">
        <f>'PEN Final Ajustado 03-07'!M13</f>
        <v>2058.5600000000004</v>
      </c>
      <c r="I14" s="78">
        <f>'PEN Final Ajustado 03-07'!N13</f>
        <v>0</v>
      </c>
      <c r="J14" s="78">
        <f t="shared" si="1"/>
        <v>2058.5600000000004</v>
      </c>
    </row>
    <row r="15" spans="2:10" ht="25.5">
      <c r="B15" s="11" t="str">
        <f>'PEN Final Ajustado 03-07'!B14</f>
        <v>1.1.9</v>
      </c>
      <c r="C15" s="11" t="str">
        <f>'PEN Final Ajustado 03-07'!C14</f>
        <v>Descrição de atribuições das vagas a criar (TDR)</v>
      </c>
      <c r="D15" s="43" t="str">
        <f>'PEN Final Ajustado 03-07'!H14</f>
        <v>Numero de documentos elaborados e disponíveis</v>
      </c>
      <c r="E15" s="152">
        <f>'PEN Final Ajustado 03-07'!J14</f>
        <v>80</v>
      </c>
      <c r="F15" s="78">
        <f>'PEN Final Ajustado 03-07'!K14</f>
        <v>0</v>
      </c>
      <c r="G15" s="78">
        <f>'PEN Final Ajustado 03-07'!L14</f>
        <v>0</v>
      </c>
      <c r="H15" s="78">
        <f>'PEN Final Ajustado 03-07'!M14</f>
        <v>0</v>
      </c>
      <c r="I15" s="78">
        <f>'PEN Final Ajustado 03-07'!N14</f>
        <v>0</v>
      </c>
      <c r="J15" s="78">
        <f t="shared" si="1"/>
        <v>80</v>
      </c>
    </row>
    <row r="16" spans="2:10">
      <c r="B16" s="11" t="str">
        <f>'PEN Final Ajustado 03-07'!B15</f>
        <v>1.1.10</v>
      </c>
      <c r="C16" s="11" t="str">
        <f>'PEN Final Ajustado 03-07'!C15</f>
        <v>Criar e dotar vagas para o PNLT</v>
      </c>
      <c r="D16" s="43">
        <f>'PEN Final Ajustado 03-07'!H15</f>
        <v>0</v>
      </c>
      <c r="E16" s="152">
        <f>'PEN Final Ajustado 03-07'!J15</f>
        <v>0</v>
      </c>
      <c r="F16" s="78">
        <f>'PEN Final Ajustado 03-07'!K15</f>
        <v>0</v>
      </c>
      <c r="G16" s="78">
        <f>'PEN Final Ajustado 03-07'!L15</f>
        <v>0</v>
      </c>
      <c r="H16" s="78">
        <f>'PEN Final Ajustado 03-07'!M15</f>
        <v>0</v>
      </c>
      <c r="I16" s="78">
        <f>'PEN Final Ajustado 03-07'!N15</f>
        <v>0</v>
      </c>
      <c r="J16" s="78">
        <f t="shared" si="1"/>
        <v>0</v>
      </c>
    </row>
    <row r="17" spans="2:10" ht="25.5">
      <c r="B17" s="11" t="str">
        <f>'PEN Final Ajustado 03-07'!B16</f>
        <v>1.1.11</v>
      </c>
      <c r="C17" s="11" t="str">
        <f>'PEN Final Ajustado 03-07'!C16</f>
        <v>Atribuição da nova grelha salarial à equipa  PNLT</v>
      </c>
      <c r="D17" s="43">
        <f>'PEN Final Ajustado 03-07'!H16</f>
        <v>0</v>
      </c>
      <c r="E17" s="152">
        <f>'PEN Final Ajustado 03-07'!J16</f>
        <v>60330</v>
      </c>
      <c r="F17" s="78">
        <f>'PEN Final Ajustado 03-07'!K16</f>
        <v>60330</v>
      </c>
      <c r="G17" s="78">
        <f>'PEN Final Ajustado 03-07'!L16</f>
        <v>60330</v>
      </c>
      <c r="H17" s="78">
        <f>'PEN Final Ajustado 03-07'!M16</f>
        <v>60330</v>
      </c>
      <c r="I17" s="78">
        <f>'PEN Final Ajustado 03-07'!N16</f>
        <v>60330</v>
      </c>
      <c r="J17" s="78">
        <f t="shared" si="1"/>
        <v>301650</v>
      </c>
    </row>
    <row r="18" spans="2:10" ht="25.5">
      <c r="B18" s="11" t="str">
        <f>'PEN Final Ajustado 03-07'!B17</f>
        <v>1.1.12</v>
      </c>
      <c r="C18" s="11" t="str">
        <f>'PEN Final Ajustado 03-07'!C17</f>
        <v>Atelier de 3 dias para a Revisão do Guia de laboratório (10 participantes)</v>
      </c>
      <c r="D18" s="43">
        <f>'PEN Final Ajustado 03-07'!H17</f>
        <v>0</v>
      </c>
      <c r="E18" s="152">
        <f>'PEN Final Ajustado 03-07'!J17</f>
        <v>0</v>
      </c>
      <c r="F18" s="78">
        <f>'PEN Final Ajustado 03-07'!K17</f>
        <v>1804.6575</v>
      </c>
      <c r="G18" s="78">
        <f>'PEN Final Ajustado 03-07'!L17</f>
        <v>0</v>
      </c>
      <c r="H18" s="78">
        <f>'PEN Final Ajustado 03-07'!M17</f>
        <v>0</v>
      </c>
      <c r="I18" s="78">
        <f>'PEN Final Ajustado 03-07'!N17</f>
        <v>0</v>
      </c>
      <c r="J18" s="78">
        <f t="shared" si="1"/>
        <v>1804.6575</v>
      </c>
    </row>
    <row r="19" spans="2:10" ht="25.5">
      <c r="B19" s="11" t="str">
        <f>'PEN Final Ajustado 03-07'!B18</f>
        <v>1.2.1</v>
      </c>
      <c r="C19" s="11" t="str">
        <f>'PEN Final Ajustado 03-07'!C18</f>
        <v>Formação em Gestão do Programa 3 pessoas</v>
      </c>
      <c r="D19" s="43" t="str">
        <f>'PEN Final Ajustado 03-07'!H18</f>
        <v>Numero de pessoal formado</v>
      </c>
      <c r="E19" s="152">
        <f>'PEN Final Ajustado 03-07'!J18</f>
        <v>11876</v>
      </c>
      <c r="F19" s="78">
        <f>'PEN Final Ajustado 03-07'!K18</f>
        <v>11876</v>
      </c>
      <c r="G19" s="78">
        <f>'PEN Final Ajustado 03-07'!L18</f>
        <v>11876</v>
      </c>
      <c r="H19" s="78">
        <f>'PEN Final Ajustado 03-07'!M18</f>
        <v>0</v>
      </c>
      <c r="I19" s="78">
        <f>'PEN Final Ajustado 03-07'!N18</f>
        <v>0</v>
      </c>
      <c r="J19" s="78">
        <f t="shared" si="1"/>
        <v>35628</v>
      </c>
    </row>
    <row r="20" spans="2:10">
      <c r="B20" s="11" t="str">
        <f>'PEN Final Ajustado 03-07'!B19</f>
        <v>1.2.2</v>
      </c>
      <c r="C20" s="11" t="str">
        <f>'PEN Final Ajustado 03-07'!C19</f>
        <v xml:space="preserve"> Formação em gestão da TB 15 pessoas</v>
      </c>
      <c r="D20" s="43" t="str">
        <f>'PEN Final Ajustado 03-07'!H19</f>
        <v>Numero de pessoal formado</v>
      </c>
      <c r="E20" s="152">
        <f>'PEN Final Ajustado 03-07'!J19</f>
        <v>0</v>
      </c>
      <c r="F20" s="78">
        <f>'PEN Final Ajustado 03-07'!K19</f>
        <v>3696.08</v>
      </c>
      <c r="G20" s="78">
        <f>'PEN Final Ajustado 03-07'!L19</f>
        <v>0</v>
      </c>
      <c r="H20" s="78">
        <f>'PEN Final Ajustado 03-07'!M19</f>
        <v>0</v>
      </c>
      <c r="I20" s="78">
        <f>'PEN Final Ajustado 03-07'!N19</f>
        <v>0</v>
      </c>
      <c r="J20" s="78">
        <f t="shared" si="1"/>
        <v>3696.08</v>
      </c>
    </row>
    <row r="21" spans="2:10">
      <c r="B21" s="11" t="str">
        <f>'PEN Final Ajustado 03-07'!B20</f>
        <v>1.2.3</v>
      </c>
      <c r="C21" s="11" t="str">
        <f>'PEN Final Ajustado 03-07'!C20</f>
        <v>Formação em saúde pública 2 pessoas</v>
      </c>
      <c r="D21" s="43" t="str">
        <f>'PEN Final Ajustado 03-07'!H20</f>
        <v>Numero de pessoal formado</v>
      </c>
      <c r="E21" s="152">
        <f>'PEN Final Ajustado 03-07'!J20</f>
        <v>0</v>
      </c>
      <c r="F21" s="78">
        <f>'PEN Final Ajustado 03-07'!K20</f>
        <v>0</v>
      </c>
      <c r="G21" s="78">
        <f>'PEN Final Ajustado 03-07'!L20</f>
        <v>60152</v>
      </c>
      <c r="H21" s="78">
        <f>'PEN Final Ajustado 03-07'!M20</f>
        <v>0</v>
      </c>
      <c r="I21" s="78">
        <f>'PEN Final Ajustado 03-07'!N20</f>
        <v>0</v>
      </c>
      <c r="J21" s="78">
        <f t="shared" si="1"/>
        <v>60152</v>
      </c>
    </row>
    <row r="22" spans="2:10" ht="25.5">
      <c r="B22" s="11" t="str">
        <f>'PEN Final Ajustado 03-07'!B21</f>
        <v>1.2.4</v>
      </c>
      <c r="C22" s="11" t="str">
        <f>'PEN Final Ajustado 03-07'!C21</f>
        <v>Formação em gestão administrativa 1 pessoa</v>
      </c>
      <c r="D22" s="43" t="str">
        <f>'PEN Final Ajustado 03-07'!H21</f>
        <v>Numero de pessoal formado</v>
      </c>
      <c r="E22" s="152">
        <f>'PEN Final Ajustado 03-07'!J21</f>
        <v>0</v>
      </c>
      <c r="F22" s="78">
        <f>'PEN Final Ajustado 03-07'!K21</f>
        <v>0</v>
      </c>
      <c r="G22" s="78">
        <f>'PEN Final Ajustado 03-07'!L21</f>
        <v>10376</v>
      </c>
      <c r="H22" s="78">
        <f>'PEN Final Ajustado 03-07'!M21</f>
        <v>0</v>
      </c>
      <c r="I22" s="78">
        <f>'PEN Final Ajustado 03-07'!N21</f>
        <v>0</v>
      </c>
      <c r="J22" s="78">
        <f t="shared" si="1"/>
        <v>10376</v>
      </c>
    </row>
    <row r="23" spans="2:10" ht="102">
      <c r="B23" s="11" t="str">
        <f>'PEN Final Ajustado 03-07'!B26</f>
        <v>1.3</v>
      </c>
      <c r="C23" s="11" t="str">
        <f>'PEN Final Ajustado 03-07'!C26</f>
        <v xml:space="preserve"> Advocacia para criar e dotar vagas para o PNLT (Um Director do programa médicos (2), enfermeira ( 1) seguimento  e avaliação, uma técnica de laboratório(1), um técnico de farmácia (1), secretaria (1),  técnico administrativo (1), motorista(1), assistente pedagógica até 2017</v>
      </c>
      <c r="D23" s="43" t="str">
        <f>'PEN Final Ajustado 03-07'!H26</f>
        <v>Numero de lugares criados dotados</v>
      </c>
      <c r="E23" s="152">
        <f>'PEN Final Ajustado 03-07'!J26</f>
        <v>185</v>
      </c>
      <c r="F23" s="78">
        <f>'PEN Final Ajustado 03-07'!K26</f>
        <v>0</v>
      </c>
      <c r="G23" s="78">
        <f>'PEN Final Ajustado 03-07'!L26</f>
        <v>0</v>
      </c>
      <c r="H23" s="78">
        <f>'PEN Final Ajustado 03-07'!M26</f>
        <v>0</v>
      </c>
      <c r="I23" s="78">
        <f>'PEN Final Ajustado 03-07'!N26</f>
        <v>0</v>
      </c>
      <c r="J23" s="78">
        <f t="shared" si="1"/>
        <v>185</v>
      </c>
    </row>
    <row r="24" spans="2:10" ht="51">
      <c r="B24" s="11" t="str">
        <f>'PEN Final Ajustado 03-07'!B27</f>
        <v>1.4</v>
      </c>
      <c r="C24" s="11" t="str">
        <f>'PEN Final Ajustado 03-07'!C27</f>
        <v xml:space="preserve">Realizar Semestralmente e trimestralmente encontros de coordenação entre os diferentes parceiros </v>
      </c>
      <c r="D24" s="43" t="str">
        <f>'PEN Final Ajustado 03-07'!H27</f>
        <v>Numero de relatórios das reuniões disponíveis</v>
      </c>
      <c r="E24" s="152">
        <f>'PEN Final Ajustado 03-07'!J27</f>
        <v>366.67</v>
      </c>
      <c r="F24" s="78">
        <f>'PEN Final Ajustado 03-07'!K27</f>
        <v>366.67</v>
      </c>
      <c r="G24" s="78">
        <f>'PEN Final Ajustado 03-07'!L27</f>
        <v>366.67</v>
      </c>
      <c r="H24" s="78">
        <f>'PEN Final Ajustado 03-07'!M27</f>
        <v>366.67</v>
      </c>
      <c r="I24" s="78">
        <f>'PEN Final Ajustado 03-07'!N27</f>
        <v>366.67</v>
      </c>
      <c r="J24" s="78">
        <f t="shared" si="1"/>
        <v>1833.3500000000001</v>
      </c>
    </row>
    <row r="25" spans="2:10" ht="25.5">
      <c r="B25" s="11" t="str">
        <f>'PEN Final Ajustado 03-07'!B28</f>
        <v>1.4.1</v>
      </c>
      <c r="C25" s="11" t="str">
        <f>'PEN Final Ajustado 03-07'!C28</f>
        <v>Realizar trimestralmente encontros de coordenação entre os diferentes níveis</v>
      </c>
      <c r="D25" s="43">
        <f>'PEN Final Ajustado 03-07'!H28</f>
        <v>0</v>
      </c>
      <c r="E25" s="152">
        <f>'PEN Final Ajustado 03-07'!J28</f>
        <v>1450</v>
      </c>
      <c r="F25" s="78">
        <f>'PEN Final Ajustado 03-07'!K28</f>
        <v>1450</v>
      </c>
      <c r="G25" s="78">
        <f>'PEN Final Ajustado 03-07'!L28</f>
        <v>1450</v>
      </c>
      <c r="H25" s="78">
        <f>'PEN Final Ajustado 03-07'!M28</f>
        <v>1450</v>
      </c>
      <c r="I25" s="78">
        <f>'PEN Final Ajustado 03-07'!N28</f>
        <v>5426</v>
      </c>
      <c r="J25" s="78">
        <f t="shared" si="1"/>
        <v>11226</v>
      </c>
    </row>
    <row r="26" spans="2:10" ht="63.75">
      <c r="B26" s="11" t="str">
        <f>'PEN Final Ajustado 03-07'!B41</f>
        <v>1.7</v>
      </c>
      <c r="C26" s="11" t="str">
        <f>'PEN Final Ajustado 03-07'!C41</f>
        <v>Assistência Tecnica internacional para Criar um sistema de incentivos (individuais e colectivos, financeiros e não financeiros) baseados no desempenho</v>
      </c>
      <c r="D26" s="43">
        <f>'PEN Final Ajustado 03-07'!H41</f>
        <v>0</v>
      </c>
      <c r="E26" s="152">
        <f>'PEN Final Ajustado 03-07'!J41</f>
        <v>0</v>
      </c>
      <c r="F26" s="78">
        <f>'PEN Final Ajustado 03-07'!K41</f>
        <v>0</v>
      </c>
      <c r="G26" s="78">
        <f>'PEN Final Ajustado 03-07'!L41</f>
        <v>16825</v>
      </c>
      <c r="H26" s="78">
        <f>'PEN Final Ajustado 03-07'!M41</f>
        <v>0</v>
      </c>
      <c r="I26" s="78">
        <f>'PEN Final Ajustado 03-07'!N41</f>
        <v>0</v>
      </c>
      <c r="J26" s="78">
        <f t="shared" si="1"/>
        <v>16825</v>
      </c>
    </row>
    <row r="27" spans="2:10" ht="25.5">
      <c r="B27" s="27" t="str">
        <f>'PEN Final Ajustado 03-07'!B42</f>
        <v>1.8</v>
      </c>
      <c r="C27" s="14" t="str">
        <f>'PEN Final Ajustado 03-07'!C42</f>
        <v>Realizar  Supervisão de gestão de medicamentos (RAP semestralmente)</v>
      </c>
      <c r="D27" s="42" t="str">
        <f>'PEN Final Ajustado 03-07'!H42</f>
        <v>Numero de supervisões realizadas</v>
      </c>
      <c r="E27" s="78">
        <f>'PEN Final Ajustado 03-07'!J42</f>
        <v>2313.6899999999996</v>
      </c>
      <c r="F27" s="78">
        <f>'PEN Final Ajustado 03-07'!K42</f>
        <v>2313.6899999999996</v>
      </c>
      <c r="G27" s="78">
        <f>'PEN Final Ajustado 03-07'!L42</f>
        <v>2313.6899999999996</v>
      </c>
      <c r="H27" s="78">
        <f>'PEN Final Ajustado 03-07'!M42</f>
        <v>2313.6899999999996</v>
      </c>
      <c r="I27" s="78">
        <f>'PEN Final Ajustado 03-07'!N42</f>
        <v>2313.6899999999996</v>
      </c>
      <c r="J27" s="78">
        <f t="shared" si="1"/>
        <v>11568.449999999997</v>
      </c>
    </row>
    <row r="28" spans="2:10" ht="38.25">
      <c r="B28" s="10" t="str">
        <f>'PEN Final Ajustado 03-07'!B47</f>
        <v>1.13</v>
      </c>
      <c r="C28" s="14" t="str">
        <f>'PEN Final Ajustado 03-07'!C47</f>
        <v>Formar 15 técnicos na instalação de uma base de dados (SPSS) da TB, 1 sessão de 5 dias.</v>
      </c>
      <c r="D28" s="43">
        <f>'PEN Final Ajustado 03-07'!H47</f>
        <v>0</v>
      </c>
      <c r="E28" s="78">
        <f>'PEN Final Ajustado 03-07'!J47</f>
        <v>0</v>
      </c>
      <c r="F28" s="78">
        <f>'PEN Final Ajustado 03-07'!K47</f>
        <v>0</v>
      </c>
      <c r="G28" s="78">
        <f>'PEN Final Ajustado 03-07'!L47</f>
        <v>4411.3900000000003</v>
      </c>
      <c r="H28" s="78">
        <f>'PEN Final Ajustado 03-07'!M47</f>
        <v>0</v>
      </c>
      <c r="I28" s="78">
        <f>'PEN Final Ajustado 03-07'!N47</f>
        <v>0</v>
      </c>
      <c r="J28" s="78">
        <f t="shared" si="1"/>
        <v>4411.3900000000003</v>
      </c>
    </row>
    <row r="29" spans="2:10" ht="33.75">
      <c r="B29" s="10" t="str">
        <f>'PEN Final Ajustado 03-07'!B62</f>
        <v>3.4</v>
      </c>
      <c r="C29" s="14" t="str">
        <f>'PEN Final Ajustado 03-07'!C62</f>
        <v>Organizar sessões de advocacia junto aos decisores políticos e parceiros.</v>
      </c>
      <c r="D29" s="42" t="str">
        <f>'PEN Final Ajustado 03-07'!H62</f>
        <v xml:space="preserve"> Numero Decisores e parceiros colaborando nas actividades de luta contra a tuberculose</v>
      </c>
      <c r="E29" s="78">
        <f>'PEN Final Ajustado 03-07'!J62</f>
        <v>92.829999999999984</v>
      </c>
      <c r="F29" s="78">
        <f>'PEN Final Ajustado 03-07'!K62</f>
        <v>92.829999999999984</v>
      </c>
      <c r="G29" s="78">
        <f>'PEN Final Ajustado 03-07'!L62</f>
        <v>92.829999999999984</v>
      </c>
      <c r="H29" s="78">
        <f>'PEN Final Ajustado 03-07'!M62</f>
        <v>92.829999999999984</v>
      </c>
      <c r="I29" s="78">
        <f>'PEN Final Ajustado 03-07'!N62</f>
        <v>92.829999999999984</v>
      </c>
      <c r="J29" s="78">
        <f t="shared" si="1"/>
        <v>464.14999999999992</v>
      </c>
    </row>
    <row r="33" spans="2:10" ht="25.5">
      <c r="C33" s="257" t="s">
        <v>914</v>
      </c>
      <c r="D33" s="262" t="s">
        <v>267</v>
      </c>
      <c r="E33" s="257" t="s">
        <v>272</v>
      </c>
      <c r="F33" s="257" t="s">
        <v>271</v>
      </c>
      <c r="G33" s="257" t="s">
        <v>270</v>
      </c>
      <c r="H33" s="257" t="s">
        <v>269</v>
      </c>
      <c r="I33" s="258" t="s">
        <v>268</v>
      </c>
      <c r="J33" s="257" t="s">
        <v>414</v>
      </c>
    </row>
    <row r="34" spans="2:10">
      <c r="B34" s="254" t="s">
        <v>276</v>
      </c>
      <c r="C34" s="254" t="s">
        <v>398</v>
      </c>
      <c r="D34" s="263"/>
      <c r="E34" s="255">
        <f t="shared" ref="E34:I34" si="2">SUM(E35:E47)</f>
        <v>57336.33</v>
      </c>
      <c r="F34" s="255">
        <f t="shared" si="2"/>
        <v>94311.866739930832</v>
      </c>
      <c r="G34" s="255">
        <f t="shared" si="2"/>
        <v>177260.12027446169</v>
      </c>
      <c r="H34" s="255">
        <f t="shared" si="2"/>
        <v>107104.23536650678</v>
      </c>
      <c r="I34" s="255">
        <f t="shared" si="2"/>
        <v>120662.86590315746</v>
      </c>
      <c r="J34" s="255">
        <f>SUM(J35:J47)</f>
        <v>556675.41828405671</v>
      </c>
    </row>
    <row r="35" spans="2:10" ht="25.5">
      <c r="B35" s="11" t="s">
        <v>221</v>
      </c>
      <c r="C35" s="1" t="s">
        <v>220</v>
      </c>
      <c r="D35" s="43" t="s">
        <v>329</v>
      </c>
      <c r="E35" s="152">
        <f>'PEN Final Ajustado 03-07'!J29</f>
        <v>5904.7700000000013</v>
      </c>
      <c r="F35" s="152">
        <f>'PEN Final Ajustado 03-07'!K29</f>
        <v>5904.7700000000013</v>
      </c>
      <c r="G35" s="152">
        <f>'PEN Final Ajustado 03-07'!L29</f>
        <v>5904.7700000000013</v>
      </c>
      <c r="H35" s="152">
        <f>'PEN Final Ajustado 03-07'!M29</f>
        <v>5904.7700000000013</v>
      </c>
      <c r="I35" s="152">
        <f>'PEN Final Ajustado 03-07'!N29</f>
        <v>5904.7700000000013</v>
      </c>
      <c r="J35" s="78">
        <f t="shared" ref="J35:J47" si="3">SUM(E35:I35)</f>
        <v>29523.850000000006</v>
      </c>
    </row>
    <row r="36" spans="2:10">
      <c r="B36" s="11" t="s">
        <v>219</v>
      </c>
      <c r="C36" s="1" t="s">
        <v>889</v>
      </c>
      <c r="D36" s="43"/>
      <c r="E36" s="152">
        <f>'PEN Final Ajustado 03-07'!J30</f>
        <v>5074.08</v>
      </c>
      <c r="F36" s="152">
        <f>'PEN Final Ajustado 03-07'!K30</f>
        <v>5074.08</v>
      </c>
      <c r="G36" s="152">
        <f>'PEN Final Ajustado 03-07'!L30</f>
        <v>5074.08</v>
      </c>
      <c r="H36" s="152">
        <f>'PEN Final Ajustado 03-07'!M30</f>
        <v>5074.08</v>
      </c>
      <c r="I36" s="152">
        <f>'PEN Final Ajustado 03-07'!N30</f>
        <v>5074.08</v>
      </c>
      <c r="J36" s="78">
        <f t="shared" si="3"/>
        <v>25370.400000000001</v>
      </c>
    </row>
    <row r="37" spans="2:10" ht="38.25">
      <c r="B37" s="11" t="s">
        <v>891</v>
      </c>
      <c r="C37" s="1" t="s">
        <v>892</v>
      </c>
      <c r="D37" s="43"/>
      <c r="E37" s="152">
        <f>'PEN Final Ajustado 03-07'!J31</f>
        <v>0</v>
      </c>
      <c r="F37" s="152">
        <f>'PEN Final Ajustado 03-07'!K31</f>
        <v>65308.936739930832</v>
      </c>
      <c r="G37" s="152">
        <f>'PEN Final Ajustado 03-07'!L31</f>
        <v>70573.580274461681</v>
      </c>
      <c r="H37" s="152">
        <f>'PEN Final Ajustado 03-07'!M31</f>
        <v>78101.305366506771</v>
      </c>
      <c r="I37" s="152">
        <f>'PEN Final Ajustado 03-07'!N31</f>
        <v>85911.435903157457</v>
      </c>
      <c r="J37" s="78">
        <f t="shared" si="3"/>
        <v>299895.25828405673</v>
      </c>
    </row>
    <row r="38" spans="2:10" ht="25.5">
      <c r="B38" s="11" t="s">
        <v>218</v>
      </c>
      <c r="C38" s="1" t="s">
        <v>217</v>
      </c>
      <c r="D38" s="43"/>
      <c r="E38" s="152">
        <f>'PEN Final Ajustado 03-07'!J32</f>
        <v>6306.48</v>
      </c>
      <c r="F38" s="152">
        <f>'PEN Final Ajustado 03-07'!K32</f>
        <v>6306.48</v>
      </c>
      <c r="G38" s="152">
        <f>'PEN Final Ajustado 03-07'!L32</f>
        <v>6306.48</v>
      </c>
      <c r="H38" s="152">
        <f>'PEN Final Ajustado 03-07'!M32</f>
        <v>6306.48</v>
      </c>
      <c r="I38" s="152">
        <f>'PEN Final Ajustado 03-07'!N32</f>
        <v>6306.48</v>
      </c>
      <c r="J38" s="78">
        <f t="shared" si="3"/>
        <v>31532.399999999998</v>
      </c>
    </row>
    <row r="39" spans="2:10" ht="25.5">
      <c r="B39" s="11" t="s">
        <v>215</v>
      </c>
      <c r="C39" s="1" t="s">
        <v>214</v>
      </c>
      <c r="D39" s="43"/>
      <c r="E39" s="152">
        <f>'PEN Final Ajustado 03-07'!J33</f>
        <v>8320</v>
      </c>
      <c r="F39" s="152">
        <f>'PEN Final Ajustado 03-07'!K33</f>
        <v>8320</v>
      </c>
      <c r="G39" s="152">
        <f>'PEN Final Ajustado 03-07'!L33</f>
        <v>8320</v>
      </c>
      <c r="H39" s="152">
        <f>'PEN Final Ajustado 03-07'!M33</f>
        <v>8320</v>
      </c>
      <c r="I39" s="152">
        <f>'PEN Final Ajustado 03-07'!N33</f>
        <v>8320</v>
      </c>
      <c r="J39" s="78">
        <f t="shared" si="3"/>
        <v>41600</v>
      </c>
    </row>
    <row r="40" spans="2:10">
      <c r="B40" s="11" t="s">
        <v>213</v>
      </c>
      <c r="C40" s="11" t="s">
        <v>212</v>
      </c>
      <c r="D40" s="43"/>
      <c r="E40" s="152">
        <f>'PEN Final Ajustado 03-07'!J34</f>
        <v>0</v>
      </c>
      <c r="F40" s="152">
        <f>'PEN Final Ajustado 03-07'!K34</f>
        <v>0</v>
      </c>
      <c r="G40" s="152">
        <f>'PEN Final Ajustado 03-07'!L34</f>
        <v>32240</v>
      </c>
      <c r="H40" s="152">
        <f>'PEN Final Ajustado 03-07'!M34</f>
        <v>0</v>
      </c>
      <c r="I40" s="152">
        <f>'PEN Final Ajustado 03-07'!N34</f>
        <v>0</v>
      </c>
      <c r="J40" s="78">
        <f t="shared" si="3"/>
        <v>32240</v>
      </c>
    </row>
    <row r="41" spans="2:10">
      <c r="B41" s="11" t="s">
        <v>211</v>
      </c>
      <c r="C41" s="11" t="s">
        <v>210</v>
      </c>
      <c r="D41" s="43"/>
      <c r="E41" s="152">
        <f>'PEN Final Ajustado 03-07'!J35</f>
        <v>0</v>
      </c>
      <c r="F41" s="152">
        <f>'PEN Final Ajustado 03-07'!K35</f>
        <v>0</v>
      </c>
      <c r="G41" s="152">
        <f>'PEN Final Ajustado 03-07'!L35</f>
        <v>23611.11</v>
      </c>
      <c r="H41" s="152">
        <f>'PEN Final Ajustado 03-07'!M35</f>
        <v>0</v>
      </c>
      <c r="I41" s="152">
        <f>'PEN Final Ajustado 03-07'!N35</f>
        <v>0</v>
      </c>
      <c r="J41" s="78">
        <f t="shared" si="3"/>
        <v>23611.11</v>
      </c>
    </row>
    <row r="42" spans="2:10" ht="63.75">
      <c r="B42" s="11" t="s">
        <v>209</v>
      </c>
      <c r="C42" s="1" t="s">
        <v>208</v>
      </c>
      <c r="D42" s="43"/>
      <c r="E42" s="152">
        <f>'PEN Final Ajustado 03-07'!J36</f>
        <v>1284</v>
      </c>
      <c r="F42" s="152">
        <f>'PEN Final Ajustado 03-07'!K36</f>
        <v>1284</v>
      </c>
      <c r="G42" s="152">
        <f>'PEN Final Ajustado 03-07'!L36</f>
        <v>1284</v>
      </c>
      <c r="H42" s="152">
        <f>'PEN Final Ajustado 03-07'!M36</f>
        <v>1284</v>
      </c>
      <c r="I42" s="152">
        <f>'PEN Final Ajustado 03-07'!N36</f>
        <v>1284</v>
      </c>
      <c r="J42" s="78">
        <f t="shared" si="3"/>
        <v>6420</v>
      </c>
    </row>
    <row r="43" spans="2:10" ht="25.5">
      <c r="B43" s="11" t="s">
        <v>200</v>
      </c>
      <c r="C43" s="11" t="s">
        <v>199</v>
      </c>
      <c r="D43" s="43"/>
      <c r="E43" s="152">
        <f>'PEN Final Ajustado 03-07'!J40</f>
        <v>28333.4</v>
      </c>
      <c r="F43" s="152">
        <f>'PEN Final Ajustado 03-07'!K40</f>
        <v>0</v>
      </c>
      <c r="G43" s="152">
        <f>'PEN Final Ajustado 03-07'!L40</f>
        <v>0</v>
      </c>
      <c r="H43" s="152">
        <f>'PEN Final Ajustado 03-07'!M40</f>
        <v>0</v>
      </c>
      <c r="I43" s="152">
        <f>'PEN Final Ajustado 03-07'!N40</f>
        <v>0</v>
      </c>
      <c r="J43" s="78">
        <f>SUM(E43:I43)</f>
        <v>28333.4</v>
      </c>
    </row>
    <row r="44" spans="2:10" ht="51">
      <c r="B44" s="11" t="s">
        <v>194</v>
      </c>
      <c r="C44" s="11" t="s">
        <v>193</v>
      </c>
      <c r="D44" s="43"/>
      <c r="E44" s="152">
        <f>'PEN Final Ajustado 03-07'!J43</f>
        <v>1713.6</v>
      </c>
      <c r="F44" s="152">
        <f>'PEN Final Ajustado 03-07'!K43</f>
        <v>1713.6</v>
      </c>
      <c r="G44" s="152">
        <f>'PEN Final Ajustado 03-07'!L43</f>
        <v>1713.6</v>
      </c>
      <c r="H44" s="152">
        <f>'PEN Final Ajustado 03-07'!M43</f>
        <v>1713.6</v>
      </c>
      <c r="I44" s="152">
        <f>'PEN Final Ajustado 03-07'!N43</f>
        <v>1713.6</v>
      </c>
      <c r="J44" s="78">
        <f t="shared" si="3"/>
        <v>8568</v>
      </c>
    </row>
    <row r="45" spans="2:10" ht="25.5">
      <c r="B45" s="11" t="s">
        <v>192</v>
      </c>
      <c r="C45" s="11" t="s">
        <v>191</v>
      </c>
      <c r="D45" s="43"/>
      <c r="E45" s="152">
        <f>'PEN Final Ajustado 03-07'!J44</f>
        <v>400</v>
      </c>
      <c r="F45" s="152">
        <f>'PEN Final Ajustado 03-07'!K44</f>
        <v>400</v>
      </c>
      <c r="G45" s="152">
        <f>'PEN Final Ajustado 03-07'!L44</f>
        <v>400</v>
      </c>
      <c r="H45" s="152">
        <f>'PEN Final Ajustado 03-07'!M44</f>
        <v>400</v>
      </c>
      <c r="I45" s="152">
        <f>'PEN Final Ajustado 03-07'!N44</f>
        <v>400</v>
      </c>
      <c r="J45" s="78">
        <f t="shared" si="3"/>
        <v>2000</v>
      </c>
    </row>
    <row r="46" spans="2:10" ht="38.25">
      <c r="B46" s="11" t="s">
        <v>190</v>
      </c>
      <c r="C46" s="11" t="s">
        <v>189</v>
      </c>
      <c r="D46" s="43"/>
      <c r="E46" s="152">
        <f>'PEN Final Ajustado 03-07'!J45</f>
        <v>0</v>
      </c>
      <c r="F46" s="152">
        <f>'PEN Final Ajustado 03-07'!K45</f>
        <v>0</v>
      </c>
      <c r="G46" s="152">
        <f>'PEN Final Ajustado 03-07'!L45</f>
        <v>16084</v>
      </c>
      <c r="H46" s="152">
        <f>'PEN Final Ajustado 03-07'!M45</f>
        <v>0</v>
      </c>
      <c r="I46" s="152">
        <f>'PEN Final Ajustado 03-07'!N45</f>
        <v>0</v>
      </c>
      <c r="J46" s="78">
        <f t="shared" si="3"/>
        <v>16084</v>
      </c>
    </row>
    <row r="47" spans="2:10" ht="38.25">
      <c r="B47" s="11" t="s">
        <v>188</v>
      </c>
      <c r="C47" s="11" t="s">
        <v>187</v>
      </c>
      <c r="D47" s="43"/>
      <c r="E47" s="152">
        <f>'PEN Final Ajustado 03-07'!J46</f>
        <v>0</v>
      </c>
      <c r="F47" s="152">
        <f>'PEN Final Ajustado 03-07'!K46</f>
        <v>0</v>
      </c>
      <c r="G47" s="152">
        <f>'PEN Final Ajustado 03-07'!L46</f>
        <v>5748.5</v>
      </c>
      <c r="H47" s="152">
        <f>'PEN Final Ajustado 03-07'!M46</f>
        <v>0</v>
      </c>
      <c r="I47" s="152">
        <f>'PEN Final Ajustado 03-07'!N46</f>
        <v>5748.5</v>
      </c>
      <c r="J47" s="78">
        <f t="shared" si="3"/>
        <v>11497</v>
      </c>
    </row>
    <row r="51" spans="2:10" ht="25.5">
      <c r="C51" s="257" t="s">
        <v>914</v>
      </c>
      <c r="D51" s="262" t="s">
        <v>267</v>
      </c>
      <c r="E51" s="257" t="s">
        <v>272</v>
      </c>
      <c r="F51" s="257" t="s">
        <v>271</v>
      </c>
      <c r="G51" s="257" t="s">
        <v>270</v>
      </c>
      <c r="H51" s="257" t="s">
        <v>269</v>
      </c>
      <c r="I51" s="258" t="s">
        <v>268</v>
      </c>
      <c r="J51" s="257" t="s">
        <v>414</v>
      </c>
    </row>
    <row r="52" spans="2:10">
      <c r="B52" s="254" t="s">
        <v>276</v>
      </c>
      <c r="C52" s="253" t="s">
        <v>399</v>
      </c>
      <c r="D52" s="263"/>
      <c r="E52" s="255">
        <f t="shared" ref="E52:I52" si="4">SUM(E53:E58)</f>
        <v>0</v>
      </c>
      <c r="F52" s="255">
        <f t="shared" si="4"/>
        <v>0</v>
      </c>
      <c r="G52" s="255">
        <f t="shared" si="4"/>
        <v>37655.06</v>
      </c>
      <c r="H52" s="255">
        <f t="shared" si="4"/>
        <v>700</v>
      </c>
      <c r="I52" s="255">
        <f t="shared" si="4"/>
        <v>9903.06</v>
      </c>
      <c r="J52" s="255">
        <f>SUM(J53:J58)</f>
        <v>48258.119999999995</v>
      </c>
    </row>
    <row r="53" spans="2:10" ht="38.25">
      <c r="B53" s="10" t="str">
        <f>'PEN Final Ajustado 03-07'!B23</f>
        <v>1.2.6</v>
      </c>
      <c r="C53" s="14" t="str">
        <f>'PEN Final Ajustado 03-07'!C23</f>
        <v xml:space="preserve">Formar 3 pessoas (2 farmácia e 1 medico de programa) em gestão e aprovisionamento de medicamentos </v>
      </c>
      <c r="D53" s="43" t="str">
        <f>'PEN Final Ajustado 03-07'!H23</f>
        <v>Numero de pessoal formado</v>
      </c>
      <c r="E53" s="78">
        <f>'PEN Final Ajustado 03-07'!J23</f>
        <v>0</v>
      </c>
      <c r="F53" s="78">
        <f>'PEN Final Ajustado 03-07'!K23</f>
        <v>0</v>
      </c>
      <c r="G53" s="78">
        <f>'PEN Final Ajustado 03-07'!L23</f>
        <v>20752</v>
      </c>
      <c r="H53" s="78">
        <f>'PEN Final Ajustado 03-07'!M23</f>
        <v>0</v>
      </c>
      <c r="I53" s="78">
        <f>'PEN Final Ajustado 03-07'!N23</f>
        <v>0</v>
      </c>
      <c r="J53" s="78">
        <f>SUM(E53:I53)</f>
        <v>20752</v>
      </c>
    </row>
    <row r="54" spans="2:10" ht="51">
      <c r="B54" s="10" t="str">
        <f>'PEN Final Ajustado 03-07'!B24</f>
        <v>1.2.7</v>
      </c>
      <c r="C54" s="14" t="str">
        <f>'PEN Final Ajustado 03-07'!C24</f>
        <v xml:space="preserve">Formar 12 Técnicos de Farmácia (6 CDT, 1 RAP, 3 HAM e 2 FNM) em gestão de medicamentos (1 sessão de 5 dias no Ano 1) </v>
      </c>
      <c r="D54" s="43" t="str">
        <f>'PEN Final Ajustado 03-07'!H24</f>
        <v>Numero de pessoal formado</v>
      </c>
      <c r="E54" s="78">
        <f>'PEN Final Ajustado 03-07'!J24</f>
        <v>0</v>
      </c>
      <c r="F54" s="78">
        <f>'PEN Final Ajustado 03-07'!K24</f>
        <v>0</v>
      </c>
      <c r="G54" s="78">
        <f>'PEN Final Ajustado 03-07'!L24</f>
        <v>4103.0599999999995</v>
      </c>
      <c r="H54" s="78">
        <f>'PEN Final Ajustado 03-07'!M24</f>
        <v>0</v>
      </c>
      <c r="I54" s="78">
        <f>'PEN Final Ajustado 03-07'!N24</f>
        <v>0</v>
      </c>
      <c r="J54" s="78">
        <f t="shared" ref="J54:J58" si="5">SUM(E54:I54)</f>
        <v>4103.0599999999995</v>
      </c>
    </row>
    <row r="55" spans="2:10" ht="51">
      <c r="B55" s="10" t="str">
        <f>'PEN Final Ajustado 03-07'!B25</f>
        <v>1.2.8</v>
      </c>
      <c r="C55" s="14" t="str">
        <f>'PEN Final Ajustado 03-07'!C25</f>
        <v xml:space="preserve">Reciclar 12 Técnicos de Farmácia (6 CDT, 1 RAP, 3 HAM e 2 FNM) em gestão de medicamentos (1 sessão de 5 dias no Ano 3) </v>
      </c>
      <c r="D55" s="43" t="str">
        <f>'PEN Final Ajustado 03-07'!H25</f>
        <v>Numero de pessoal formado</v>
      </c>
      <c r="E55" s="78">
        <f>'PEN Final Ajustado 03-07'!J25</f>
        <v>0</v>
      </c>
      <c r="F55" s="78">
        <f>'PEN Final Ajustado 03-07'!K25</f>
        <v>0</v>
      </c>
      <c r="G55" s="78">
        <f>'PEN Final Ajustado 03-07'!L25</f>
        <v>0</v>
      </c>
      <c r="H55" s="78">
        <f>'PEN Final Ajustado 03-07'!M25</f>
        <v>0</v>
      </c>
      <c r="I55" s="78">
        <f>'PEN Final Ajustado 03-07'!N25</f>
        <v>4103.0599999999995</v>
      </c>
      <c r="J55" s="78">
        <f t="shared" si="5"/>
        <v>4103.0599999999995</v>
      </c>
    </row>
    <row r="56" spans="2:10" ht="38.25">
      <c r="B56" s="10" t="str">
        <f>'PEN Final Ajustado 03-07'!B37</f>
        <v>1.6.4</v>
      </c>
      <c r="C56" s="14" t="str">
        <f>'PEN Final Ajustado 03-07'!C37</f>
        <v>Aquisição de 2 aparelho de medição da temperatura do ambiente – registo durante 24 horas</v>
      </c>
      <c r="D56" s="43"/>
      <c r="E56" s="78">
        <f>'PEN Final Ajustado 03-07'!J37</f>
        <v>0</v>
      </c>
      <c r="F56" s="78">
        <f>'PEN Final Ajustado 03-07'!K37</f>
        <v>0</v>
      </c>
      <c r="G56" s="78">
        <f>'PEN Final Ajustado 03-07'!L37</f>
        <v>7000</v>
      </c>
      <c r="H56" s="78">
        <f>'PEN Final Ajustado 03-07'!M37</f>
        <v>0</v>
      </c>
      <c r="I56" s="78">
        <f>'PEN Final Ajustado 03-07'!N37</f>
        <v>0</v>
      </c>
      <c r="J56" s="78">
        <f t="shared" si="5"/>
        <v>7000</v>
      </c>
    </row>
    <row r="57" spans="2:10" ht="38.25">
      <c r="B57" s="10" t="str">
        <f>'PEN Final Ajustado 03-07'!B38</f>
        <v>1.6.4.1</v>
      </c>
      <c r="C57" s="14" t="str">
        <f>'PEN Final Ajustado 03-07'!C38</f>
        <v xml:space="preserve">Assegurar o funcionamento do aparelho de medição da temperatura do ambiente – rolo de registo de oscilação </v>
      </c>
      <c r="D57" s="43"/>
      <c r="E57" s="78">
        <f>'PEN Final Ajustado 03-07'!J38</f>
        <v>0</v>
      </c>
      <c r="F57" s="78">
        <f>'PEN Final Ajustado 03-07'!K38</f>
        <v>0</v>
      </c>
      <c r="G57" s="78">
        <f>'PEN Final Ajustado 03-07'!L38</f>
        <v>5100</v>
      </c>
      <c r="H57" s="78">
        <f>'PEN Final Ajustado 03-07'!M38</f>
        <v>0</v>
      </c>
      <c r="I57" s="78">
        <f>'PEN Final Ajustado 03-07'!N38</f>
        <v>5100</v>
      </c>
      <c r="J57" s="78">
        <f t="shared" si="5"/>
        <v>10200</v>
      </c>
    </row>
    <row r="58" spans="2:10" ht="51">
      <c r="B58" s="10" t="str">
        <f>'PEN Final Ajustado 03-07'!B39</f>
        <v>1.6.4.2</v>
      </c>
      <c r="C58" s="14" t="str">
        <f>'PEN Final Ajustado 03-07'!C39</f>
        <v>Contratar uma empresa para assegurar a manutenção dos equipamentos (aparelho de medição de temperatura) contínuo durante 5 anos</v>
      </c>
      <c r="D58" s="43"/>
      <c r="E58" s="78">
        <f>'PEN Final Ajustado 03-07'!J39</f>
        <v>0</v>
      </c>
      <c r="F58" s="78">
        <f>'PEN Final Ajustado 03-07'!K39</f>
        <v>0</v>
      </c>
      <c r="G58" s="78">
        <f>'PEN Final Ajustado 03-07'!L39</f>
        <v>700</v>
      </c>
      <c r="H58" s="78">
        <f>'PEN Final Ajustado 03-07'!M39</f>
        <v>700</v>
      </c>
      <c r="I58" s="78">
        <f>'PEN Final Ajustado 03-07'!N39</f>
        <v>700</v>
      </c>
      <c r="J58" s="78">
        <f t="shared" si="5"/>
        <v>2100</v>
      </c>
    </row>
    <row r="61" spans="2:10" ht="25.5">
      <c r="C61" s="257" t="s">
        <v>914</v>
      </c>
      <c r="D61" s="262" t="s">
        <v>267</v>
      </c>
      <c r="E61" s="257" t="s">
        <v>272</v>
      </c>
      <c r="F61" s="257" t="s">
        <v>271</v>
      </c>
      <c r="G61" s="257" t="s">
        <v>270</v>
      </c>
      <c r="H61" s="257" t="s">
        <v>269</v>
      </c>
      <c r="I61" s="258" t="s">
        <v>268</v>
      </c>
      <c r="J61" s="257" t="s">
        <v>414</v>
      </c>
    </row>
    <row r="62" spans="2:10">
      <c r="B62" s="254" t="s">
        <v>276</v>
      </c>
      <c r="C62" s="254" t="s">
        <v>400</v>
      </c>
      <c r="D62" s="263"/>
      <c r="E62" s="255">
        <f t="shared" ref="E62:I62" si="6">SUM(E63:E74)</f>
        <v>13475.74</v>
      </c>
      <c r="F62" s="255">
        <f t="shared" si="6"/>
        <v>21447.909999999996</v>
      </c>
      <c r="G62" s="255">
        <f t="shared" si="6"/>
        <v>49625.930000000008</v>
      </c>
      <c r="H62" s="255">
        <f t="shared" si="6"/>
        <v>66920.740000000005</v>
      </c>
      <c r="I62" s="255">
        <f t="shared" si="6"/>
        <v>8291.52</v>
      </c>
      <c r="J62" s="255">
        <f>SUM(J63:J74)</f>
        <v>159761.83999999997</v>
      </c>
    </row>
    <row r="63" spans="2:10" ht="25.5">
      <c r="B63" s="10" t="str">
        <f>'PEN Final Ajustado 03-07'!B22</f>
        <v>1.2.5</v>
      </c>
      <c r="C63" s="14" t="str">
        <f>'PEN Final Ajustado 03-07'!C22</f>
        <v>Formação em Seguimento e avaliação 2 pessoas</v>
      </c>
      <c r="D63" s="43" t="str">
        <f>'PEN Final Ajustado 03-07'!H22</f>
        <v>Numero de pessoal formado</v>
      </c>
      <c r="E63" s="78">
        <f>'PEN Final Ajustado 03-07'!J22</f>
        <v>0</v>
      </c>
      <c r="F63" s="78">
        <f>'PEN Final Ajustado 03-07'!K22</f>
        <v>0</v>
      </c>
      <c r="G63" s="78">
        <f>'PEN Final Ajustado 03-07'!L22</f>
        <v>38152</v>
      </c>
      <c r="H63" s="78">
        <f>'PEN Final Ajustado 03-07'!M22</f>
        <v>38152</v>
      </c>
      <c r="I63" s="78">
        <f>'PEN Final Ajustado 03-07'!N22</f>
        <v>0</v>
      </c>
      <c r="J63" s="78">
        <f>SUM(E63:I63)</f>
        <v>76304</v>
      </c>
    </row>
    <row r="64" spans="2:10" ht="25.5">
      <c r="B64" s="11" t="str">
        <f>'PEN Final Ajustado 03-07'!B48</f>
        <v>2.1</v>
      </c>
      <c r="C64" s="11" t="str">
        <f>'PEN Final Ajustado 03-07'!C48</f>
        <v>Recrutar e afectar 1 técnico de Seguimento e Avaliação do PNLT</v>
      </c>
      <c r="D64" s="43" t="str">
        <f>'PEN Final Ajustado 03-07'!H48</f>
        <v>Técnico recrutado</v>
      </c>
      <c r="E64" s="78">
        <f>'PEN Final Ajustado 03-07'!J48</f>
        <v>8700</v>
      </c>
      <c r="F64" s="78">
        <f>'PEN Final Ajustado 03-07'!K48</f>
        <v>8700</v>
      </c>
      <c r="G64" s="78">
        <f>'PEN Final Ajustado 03-07'!L48</f>
        <v>0</v>
      </c>
      <c r="H64" s="78">
        <f>'PEN Final Ajustado 03-07'!M48</f>
        <v>0</v>
      </c>
      <c r="I64" s="78">
        <f>'PEN Final Ajustado 03-07'!N48</f>
        <v>0</v>
      </c>
      <c r="J64" s="78">
        <f t="shared" ref="J64:J74" si="7">SUM(E64:I64)</f>
        <v>17400</v>
      </c>
    </row>
    <row r="65" spans="2:10" ht="51">
      <c r="B65" s="10" t="str">
        <f>'PEN Final Ajustado 03-07'!B49</f>
        <v>2.2</v>
      </c>
      <c r="C65" s="14" t="str">
        <f>'PEN Final Ajustado 03-07'!C49</f>
        <v>Organizar atelier de 5 dias para actualizar e validação o plano de seguimento e avaliação e instrumento de colheita dos dados</v>
      </c>
      <c r="D65" s="43" t="str">
        <f>'PEN Final Ajustado 03-07'!H49</f>
        <v>Plano S&amp;A actualizado e disponivel</v>
      </c>
      <c r="E65" s="78">
        <f>'PEN Final Ajustado 03-07'!J49</f>
        <v>0</v>
      </c>
      <c r="F65" s="78">
        <f>'PEN Final Ajustado 03-07'!K49</f>
        <v>3356.39</v>
      </c>
      <c r="G65" s="78">
        <f>'PEN Final Ajustado 03-07'!L49</f>
        <v>0</v>
      </c>
      <c r="H65" s="78">
        <f>'PEN Final Ajustado 03-07'!M49</f>
        <v>0</v>
      </c>
      <c r="I65" s="78">
        <f>'PEN Final Ajustado 03-07'!N49</f>
        <v>0</v>
      </c>
      <c r="J65" s="78">
        <f t="shared" si="7"/>
        <v>3356.39</v>
      </c>
    </row>
    <row r="66" spans="2:10" ht="38.25">
      <c r="B66" s="10" t="str">
        <f>'PEN Final Ajustado 03-07'!B50</f>
        <v>2.2.1</v>
      </c>
      <c r="C66" s="14" t="str">
        <f>'PEN Final Ajustado 03-07'!C50</f>
        <v>Organizar um atelier de 5 jours para avaliação do cumprimento do plano de seguimento e avaliação</v>
      </c>
      <c r="D66" s="43">
        <f>'PEN Final Ajustado 03-07'!H50</f>
        <v>0</v>
      </c>
      <c r="E66" s="78">
        <f>'PEN Final Ajustado 03-07'!J50</f>
        <v>0</v>
      </c>
      <c r="F66" s="78">
        <f>'PEN Final Ajustado 03-07'!K50</f>
        <v>0</v>
      </c>
      <c r="G66" s="78">
        <f>'PEN Final Ajustado 03-07'!L50</f>
        <v>0</v>
      </c>
      <c r="H66" s="78">
        <f>'PEN Final Ajustado 03-07'!M50</f>
        <v>3356.39</v>
      </c>
      <c r="I66" s="78">
        <f>'PEN Final Ajustado 03-07'!N50</f>
        <v>0</v>
      </c>
      <c r="J66" s="78">
        <f t="shared" si="7"/>
        <v>3356.39</v>
      </c>
    </row>
    <row r="67" spans="2:10" ht="25.5">
      <c r="B67" s="10" t="str">
        <f>'PEN Final Ajustado 03-07'!B51</f>
        <v>2.3</v>
      </c>
      <c r="C67" s="14" t="str">
        <f>'PEN Final Ajustado 03-07'!C51</f>
        <v>Implementar o plano de seguimento e avaliação</v>
      </c>
      <c r="D67" s="42">
        <f>'PEN Final Ajustado 03-07'!H51</f>
        <v>0</v>
      </c>
      <c r="E67" s="78">
        <f>'PEN Final Ajustado 03-07'!J51</f>
        <v>0</v>
      </c>
      <c r="F67" s="78">
        <f>'PEN Final Ajustado 03-07'!K51</f>
        <v>0</v>
      </c>
      <c r="G67" s="78">
        <f>'PEN Final Ajustado 03-07'!L51</f>
        <v>0</v>
      </c>
      <c r="H67" s="78">
        <f>'PEN Final Ajustado 03-07'!M51</f>
        <v>0</v>
      </c>
      <c r="I67" s="78">
        <f>'PEN Final Ajustado 03-07'!N51</f>
        <v>0</v>
      </c>
      <c r="J67" s="78">
        <f t="shared" si="7"/>
        <v>0</v>
      </c>
    </row>
    <row r="68" spans="2:10" ht="25.5">
      <c r="B68" s="10" t="str">
        <f>'PEN Final Ajustado 03-07'!B52</f>
        <v>2.4</v>
      </c>
      <c r="C68" s="14" t="str">
        <f>'PEN Final Ajustado 03-07'!C52</f>
        <v xml:space="preserve">Implementar o sistema de registo electrónico de dados TB </v>
      </c>
      <c r="D68" s="43" t="str">
        <f>'PEN Final Ajustado 03-07'!H52</f>
        <v>Sistema de registro electrónico funcional</v>
      </c>
      <c r="E68" s="78">
        <f>'PEN Final Ajustado 03-07'!J52</f>
        <v>0</v>
      </c>
      <c r="F68" s="78">
        <f>'PEN Final Ajustado 03-07'!K52</f>
        <v>1100</v>
      </c>
      <c r="G68" s="78">
        <f>'PEN Final Ajustado 03-07'!L52</f>
        <v>0</v>
      </c>
      <c r="H68" s="78">
        <f>'PEN Final Ajustado 03-07'!M52</f>
        <v>0</v>
      </c>
      <c r="I68" s="78">
        <f>'PEN Final Ajustado 03-07'!N52</f>
        <v>0</v>
      </c>
      <c r="J68" s="78">
        <f t="shared" si="7"/>
        <v>1100</v>
      </c>
    </row>
    <row r="69" spans="2:10" ht="25.5">
      <c r="B69" s="10" t="str">
        <f>'PEN Final Ajustado 03-07'!B53</f>
        <v>2.5</v>
      </c>
      <c r="C69" s="14" t="str">
        <f>'PEN Final Ajustado 03-07'!C53</f>
        <v xml:space="preserve">Produção e difusão de relatórios trimestrais </v>
      </c>
      <c r="D69" s="42" t="str">
        <f>'PEN Final Ajustado 03-07'!H53</f>
        <v>relatorios produzidos e difundidos</v>
      </c>
      <c r="E69" s="78">
        <f>'PEN Final Ajustado 03-07'!J53</f>
        <v>1593.33</v>
      </c>
      <c r="F69" s="78">
        <f>'PEN Final Ajustado 03-07'!K53</f>
        <v>1593.33</v>
      </c>
      <c r="G69" s="78">
        <f>'PEN Final Ajustado 03-07'!L53</f>
        <v>1593.33</v>
      </c>
      <c r="H69" s="78">
        <f>'PEN Final Ajustado 03-07'!M53</f>
        <v>1593.33</v>
      </c>
      <c r="I69" s="78">
        <f>'PEN Final Ajustado 03-07'!N53</f>
        <v>1593.33</v>
      </c>
      <c r="J69" s="78">
        <f t="shared" si="7"/>
        <v>7966.65</v>
      </c>
    </row>
    <row r="70" spans="2:10" ht="25.5">
      <c r="B70" s="10" t="str">
        <f>'PEN Final Ajustado 03-07'!B54</f>
        <v>2.6</v>
      </c>
      <c r="C70" s="14" t="str">
        <f>'PEN Final Ajustado 03-07'!C54</f>
        <v xml:space="preserve">Organizar a avaliação (interna e externa) do plano estratégico  </v>
      </c>
      <c r="D70" s="43" t="str">
        <f>'PEN Final Ajustado 03-07'!H54</f>
        <v>Relatorio da avaliação disponível)</v>
      </c>
      <c r="E70" s="78">
        <f>'PEN Final Ajustado 03-07'!J54</f>
        <v>0</v>
      </c>
      <c r="F70" s="78">
        <f>'PEN Final Ajustado 03-07'!K54</f>
        <v>0</v>
      </c>
      <c r="G70" s="78">
        <f>'PEN Final Ajustado 03-07'!L54</f>
        <v>0</v>
      </c>
      <c r="H70" s="78">
        <f>'PEN Final Ajustado 03-07'!M54</f>
        <v>20261.940000000002</v>
      </c>
      <c r="I70" s="78">
        <f>'PEN Final Ajustado 03-07'!N54</f>
        <v>0</v>
      </c>
      <c r="J70" s="78">
        <f t="shared" si="7"/>
        <v>20261.940000000002</v>
      </c>
    </row>
    <row r="71" spans="2:10" ht="38.25">
      <c r="B71" s="10" t="str">
        <f>'PEN Final Ajustado 03-07'!B55</f>
        <v>2.7</v>
      </c>
      <c r="C71" s="14" t="str">
        <f>'PEN Final Ajustado 03-07'!C55</f>
        <v>Atelie de 5 dias com 10 técnicos estatísticos para preenchimento das fichas e livro de registo</v>
      </c>
      <c r="D71" s="47" t="str">
        <f>'PEN Final Ajustado 03-07'!H55</f>
        <v>Relatorio do atiliê</v>
      </c>
      <c r="E71" s="78">
        <f>'PEN Final Ajustado 03-07'!J55</f>
        <v>0</v>
      </c>
      <c r="F71" s="78">
        <f>'PEN Final Ajustado 03-07'!K55</f>
        <v>3141.11</v>
      </c>
      <c r="G71" s="78">
        <f>'PEN Final Ajustado 03-07'!L55</f>
        <v>3141.11</v>
      </c>
      <c r="H71" s="78">
        <f>'PEN Final Ajustado 03-07'!M55</f>
        <v>0</v>
      </c>
      <c r="I71" s="78">
        <f>'PEN Final Ajustado 03-07'!N55</f>
        <v>3141.11</v>
      </c>
      <c r="J71" s="78">
        <f t="shared" si="7"/>
        <v>9423.33</v>
      </c>
    </row>
    <row r="72" spans="2:10" ht="25.5">
      <c r="B72" s="10" t="str">
        <f>'PEN Final Ajustado 03-07'!B56</f>
        <v>2.8</v>
      </c>
      <c r="C72" s="14" t="str">
        <f>'PEN Final Ajustado 03-07'!C56</f>
        <v>Organizar encontro para restituição dos dados</v>
      </c>
      <c r="D72" s="47" t="str">
        <f>'PEN Final Ajustado 03-07'!H56</f>
        <v>Dados restituidos</v>
      </c>
      <c r="E72" s="78">
        <f>'PEN Final Ajustado 03-07'!J56</f>
        <v>0</v>
      </c>
      <c r="F72" s="78">
        <f>'PEN Final Ajustado 03-07'!K56</f>
        <v>374.67</v>
      </c>
      <c r="G72" s="78">
        <f>'PEN Final Ajustado 03-07'!L56</f>
        <v>374.67</v>
      </c>
      <c r="H72" s="78">
        <f>'PEN Final Ajustado 03-07'!M56</f>
        <v>374.67</v>
      </c>
      <c r="I72" s="78">
        <f>'PEN Final Ajustado 03-07'!N56</f>
        <v>374.67</v>
      </c>
      <c r="J72" s="78">
        <f t="shared" si="7"/>
        <v>1498.68</v>
      </c>
    </row>
    <row r="73" spans="2:10" ht="25.5">
      <c r="B73" s="10" t="str">
        <f>'PEN Final Ajustado 03-07'!B91</f>
        <v>5.4</v>
      </c>
      <c r="C73" s="14" t="str">
        <f>'PEN Final Ajustado 03-07'!C91</f>
        <v>Formar 24 supervisores (supervisão integrada), uma secção de 5 dias.</v>
      </c>
      <c r="D73" s="43" t="str">
        <f>'PEN Final Ajustado 03-07'!H91</f>
        <v>Numero de supervisosres formados</v>
      </c>
      <c r="E73" s="78">
        <f>'PEN Final Ajustado 03-07'!J91</f>
        <v>0</v>
      </c>
      <c r="F73" s="78">
        <f>'PEN Final Ajustado 03-07'!K91</f>
        <v>0</v>
      </c>
      <c r="G73" s="78">
        <f>'PEN Final Ajustado 03-07'!L91</f>
        <v>3182.41</v>
      </c>
      <c r="H73" s="78">
        <f>'PEN Final Ajustado 03-07'!M91</f>
        <v>0</v>
      </c>
      <c r="I73" s="78">
        <f>'PEN Final Ajustado 03-07'!N91</f>
        <v>0</v>
      </c>
      <c r="J73" s="78">
        <f t="shared" si="7"/>
        <v>3182.41</v>
      </c>
    </row>
    <row r="74" spans="2:10" ht="25.5">
      <c r="B74" s="10" t="str">
        <f>'PEN Final Ajustado 03-07'!B92</f>
        <v>5.5</v>
      </c>
      <c r="C74" s="14" t="str">
        <f>'PEN Final Ajustado 03-07'!C92</f>
        <v>Supervisionar os prestadores de cuidados de saúde</v>
      </c>
      <c r="D74" s="42" t="str">
        <f>'PEN Final Ajustado 03-07'!H92</f>
        <v xml:space="preserve">Numero de visitas de supervisão </v>
      </c>
      <c r="E74" s="78">
        <f>'PEN Final Ajustado 03-07'!J92</f>
        <v>3182.41</v>
      </c>
      <c r="F74" s="78">
        <f>'PEN Final Ajustado 03-07'!K92</f>
        <v>3182.41</v>
      </c>
      <c r="G74" s="78">
        <f>'PEN Final Ajustado 03-07'!L92</f>
        <v>3182.41</v>
      </c>
      <c r="H74" s="78">
        <f>'PEN Final Ajustado 03-07'!M92</f>
        <v>3182.41</v>
      </c>
      <c r="I74" s="78">
        <f>'PEN Final Ajustado 03-07'!N92</f>
        <v>3182.41</v>
      </c>
      <c r="J74" s="78">
        <f t="shared" si="7"/>
        <v>15912.05</v>
      </c>
    </row>
    <row r="77" spans="2:10" ht="25.5">
      <c r="C77" s="257" t="s">
        <v>914</v>
      </c>
      <c r="D77" s="262" t="s">
        <v>267</v>
      </c>
      <c r="E77" s="257" t="s">
        <v>272</v>
      </c>
      <c r="F77" s="257" t="s">
        <v>271</v>
      </c>
      <c r="G77" s="257" t="s">
        <v>270</v>
      </c>
      <c r="H77" s="257" t="s">
        <v>269</v>
      </c>
      <c r="I77" s="258" t="s">
        <v>268</v>
      </c>
      <c r="J77" s="257" t="s">
        <v>414</v>
      </c>
    </row>
    <row r="78" spans="2:10">
      <c r="B78" s="254" t="s">
        <v>276</v>
      </c>
      <c r="C78" s="254" t="s">
        <v>866</v>
      </c>
      <c r="D78" s="263"/>
      <c r="E78" s="255">
        <f t="shared" ref="E78:I78" si="8">SUM(E79:E81)</f>
        <v>0</v>
      </c>
      <c r="F78" s="255">
        <f t="shared" si="8"/>
        <v>22000</v>
      </c>
      <c r="G78" s="255">
        <f t="shared" si="8"/>
        <v>11000</v>
      </c>
      <c r="H78" s="255">
        <f t="shared" si="8"/>
        <v>33000</v>
      </c>
      <c r="I78" s="255">
        <f t="shared" si="8"/>
        <v>0</v>
      </c>
      <c r="J78" s="255">
        <f>SUM(J79:J81)</f>
        <v>66000</v>
      </c>
    </row>
    <row r="79" spans="2:10">
      <c r="B79" s="10" t="str">
        <f>'PEN Final Ajustado 03-07'!B59</f>
        <v>3.3</v>
      </c>
      <c r="C79" s="14" t="str">
        <f>'PEN Final Ajustado 03-07'!C59</f>
        <v>Realizar um Inquérito CAP</v>
      </c>
      <c r="D79" s="47" t="str">
        <f>'PEN Final Ajustado 03-07'!H59</f>
        <v>Relatorio de CAP disponível</v>
      </c>
      <c r="E79" s="78">
        <f>'PEN Final Ajustado 03-07'!J59</f>
        <v>0</v>
      </c>
      <c r="F79" s="78">
        <f>'PEN Final Ajustado 03-07'!K59</f>
        <v>22000</v>
      </c>
      <c r="G79" s="78">
        <f>'PEN Final Ajustado 03-07'!L59</f>
        <v>0</v>
      </c>
      <c r="H79" s="78">
        <f>'PEN Final Ajustado 03-07'!M59</f>
        <v>22000</v>
      </c>
      <c r="I79" s="78">
        <f>'PEN Final Ajustado 03-07'!N59</f>
        <v>0</v>
      </c>
      <c r="J79" s="78">
        <f t="shared" ref="J79:J81" si="9">SUM(E79:I79)</f>
        <v>44000</v>
      </c>
    </row>
    <row r="80" spans="2:10" ht="25.5">
      <c r="B80" s="10" t="str">
        <f>'PEN Final Ajustado 03-07'!B60</f>
        <v>3.3.1</v>
      </c>
      <c r="C80" s="11" t="str">
        <f>'PEN Final Ajustado 03-07'!C60</f>
        <v>Realizar um Estudo sobre a mortalidade por TB</v>
      </c>
      <c r="D80" s="43">
        <f>'PEN Final Ajustado 03-07'!H60</f>
        <v>0</v>
      </c>
      <c r="E80" s="78">
        <f>'PEN Final Ajustado 03-07'!J60</f>
        <v>0</v>
      </c>
      <c r="F80" s="78">
        <f>'PEN Final Ajustado 03-07'!K60</f>
        <v>0</v>
      </c>
      <c r="G80" s="78">
        <f>'PEN Final Ajustado 03-07'!L60</f>
        <v>11000</v>
      </c>
      <c r="H80" s="78">
        <f>'PEN Final Ajustado 03-07'!M60</f>
        <v>0</v>
      </c>
      <c r="I80" s="78">
        <f>'PEN Final Ajustado 03-07'!N60</f>
        <v>0</v>
      </c>
      <c r="J80" s="78">
        <f t="shared" si="9"/>
        <v>11000</v>
      </c>
    </row>
    <row r="81" spans="2:10" ht="25.5">
      <c r="B81" s="10" t="str">
        <f>'PEN Final Ajustado 03-07'!B61</f>
        <v>3.3.2</v>
      </c>
      <c r="C81" s="11" t="str">
        <f>'PEN Final Ajustado 03-07'!C61</f>
        <v>Realizar um Estudo sobre a Co-infecção TB/VIH</v>
      </c>
      <c r="D81" s="43">
        <f>'PEN Final Ajustado 03-07'!H61</f>
        <v>0</v>
      </c>
      <c r="E81" s="78">
        <f>'PEN Final Ajustado 03-07'!J61</f>
        <v>0</v>
      </c>
      <c r="F81" s="78">
        <f>'PEN Final Ajustado 03-07'!K61</f>
        <v>0</v>
      </c>
      <c r="G81" s="78">
        <f>'PEN Final Ajustado 03-07'!L61</f>
        <v>0</v>
      </c>
      <c r="H81" s="78">
        <f>'PEN Final Ajustado 03-07'!M61</f>
        <v>11000</v>
      </c>
      <c r="I81" s="78">
        <f>'PEN Final Ajustado 03-07'!N61</f>
        <v>0</v>
      </c>
      <c r="J81" s="78">
        <f t="shared" si="9"/>
        <v>11000</v>
      </c>
    </row>
    <row r="83" spans="2:10">
      <c r="C83" t="s">
        <v>390</v>
      </c>
    </row>
    <row r="84" spans="2:10" ht="25.5">
      <c r="C84" s="257" t="s">
        <v>914</v>
      </c>
      <c r="D84" s="262" t="s">
        <v>267</v>
      </c>
      <c r="E84" s="257" t="s">
        <v>272</v>
      </c>
      <c r="F84" s="257" t="s">
        <v>271</v>
      </c>
      <c r="G84" s="257" t="s">
        <v>270</v>
      </c>
      <c r="H84" s="257" t="s">
        <v>269</v>
      </c>
      <c r="I84" s="258" t="s">
        <v>268</v>
      </c>
      <c r="J84" s="257" t="s">
        <v>414</v>
      </c>
    </row>
    <row r="85" spans="2:10">
      <c r="B85" s="371" t="s">
        <v>276</v>
      </c>
      <c r="C85" s="371" t="s">
        <v>401</v>
      </c>
      <c r="D85" s="372"/>
      <c r="E85" s="373">
        <f t="shared" ref="E85:I85" si="10">SUM(E86:E102)</f>
        <v>89009.42</v>
      </c>
      <c r="F85" s="373">
        <f t="shared" si="10"/>
        <v>66244.030000000013</v>
      </c>
      <c r="G85" s="373">
        <f t="shared" si="10"/>
        <v>115497.84</v>
      </c>
      <c r="H85" s="373">
        <f t="shared" si="10"/>
        <v>84422.62</v>
      </c>
      <c r="I85" s="373">
        <f t="shared" si="10"/>
        <v>70027.839999999997</v>
      </c>
      <c r="J85" s="373">
        <f>SUM(J86:J102)</f>
        <v>425201.75</v>
      </c>
    </row>
    <row r="86" spans="2:10" ht="25.5">
      <c r="B86" s="11" t="str">
        <f>'PEN Final Ajustado 03-07'!B69</f>
        <v>4.1</v>
      </c>
      <c r="C86" s="11" t="str">
        <f>'PEN Final Ajustado 03-07'!C69</f>
        <v xml:space="preserve">Rehabilitar/adaptação de 6 laboratórios  </v>
      </c>
      <c r="D86" s="152" t="str">
        <f>'PEN Final Ajustado 03-07'!H69</f>
        <v>Numero de laboratórios reabilitados/adapatados</v>
      </c>
      <c r="E86" s="152">
        <f>'PEN Final Ajustado 03-07'!J69</f>
        <v>4500</v>
      </c>
      <c r="F86" s="78">
        <f>'PEN Final Ajustado 03-07'!K69</f>
        <v>4500</v>
      </c>
      <c r="G86" s="78">
        <f>'PEN Final Ajustado 03-07'!L69</f>
        <v>4500</v>
      </c>
      <c r="H86" s="78">
        <f>'PEN Final Ajustado 03-07'!M69</f>
        <v>0</v>
      </c>
      <c r="I86" s="78">
        <f>'PEN Final Ajustado 03-07'!N69</f>
        <v>0</v>
      </c>
      <c r="J86" s="78">
        <f t="shared" ref="J86:J102" si="11">SUM(E86:I86)</f>
        <v>13500</v>
      </c>
    </row>
    <row r="87" spans="2:10" ht="25.5">
      <c r="B87" s="11" t="str">
        <f>'PEN Final Ajustado 03-07'!B70</f>
        <v>4.2</v>
      </c>
      <c r="C87" s="11" t="str">
        <f>'PEN Final Ajustado 03-07'!C70</f>
        <v>Equipar os laboratórios( microscópios, bico de busen...)</v>
      </c>
      <c r="D87" s="152" t="str">
        <f>'PEN Final Ajustado 03-07'!H70</f>
        <v>Numero de laboratorios equipados</v>
      </c>
      <c r="E87" s="152">
        <f>'PEN Final Ajustado 03-07'!J70</f>
        <v>18604</v>
      </c>
      <c r="F87" s="78">
        <f>'PEN Final Ajustado 03-07'!K70</f>
        <v>0</v>
      </c>
      <c r="G87" s="78">
        <f>'PEN Final Ajustado 03-07'!L70</f>
        <v>13953</v>
      </c>
      <c r="H87" s="78">
        <f>'PEN Final Ajustado 03-07'!M70</f>
        <v>0</v>
      </c>
      <c r="I87" s="78">
        <f>'PEN Final Ajustado 03-07'!N70</f>
        <v>13953</v>
      </c>
      <c r="J87" s="78">
        <f>SUM(E87:I87)</f>
        <v>46510</v>
      </c>
    </row>
    <row r="88" spans="2:10" ht="51">
      <c r="B88" s="11" t="str">
        <f>'PEN Final Ajustado 03-07'!B71</f>
        <v>4.3</v>
      </c>
      <c r="C88" s="11" t="str">
        <f>'PEN Final Ajustado 03-07'!C71</f>
        <v xml:space="preserve">Aprovisionar as estruturas em consumíveis de laboratório (laminas, luvas, embaços, reagentes, mala térmica, palitos…) </v>
      </c>
      <c r="D88" s="152" t="str">
        <f>'PEN Final Ajustado 03-07'!H71</f>
        <v>Numero de dias de rutura de Stoks</v>
      </c>
      <c r="E88" s="152">
        <f>'PEN Final Ajustado 03-07'!J71</f>
        <v>18372</v>
      </c>
      <c r="F88" s="78">
        <f>'PEN Final Ajustado 03-07'!K71</f>
        <v>18372</v>
      </c>
      <c r="G88" s="78">
        <f>'PEN Final Ajustado 03-07'!L71</f>
        <v>18372</v>
      </c>
      <c r="H88" s="78">
        <f>'PEN Final Ajustado 03-07'!M71</f>
        <v>18372</v>
      </c>
      <c r="I88" s="78">
        <f>'PEN Final Ajustado 03-07'!N71</f>
        <v>18372</v>
      </c>
      <c r="J88" s="78">
        <f t="shared" si="11"/>
        <v>91860</v>
      </c>
    </row>
    <row r="89" spans="2:10" ht="25.5">
      <c r="B89" s="1" t="str">
        <f>'PEN Final Ajustado 03-07'!B72</f>
        <v>4.4.1</v>
      </c>
      <c r="C89" s="1" t="str">
        <f>'PEN Final Ajustado 03-07'!C72</f>
        <v>Assegurar o controlo de qualidade externo supranacional</v>
      </c>
      <c r="D89" s="152" t="str">
        <f>'PEN Final Ajustado 03-07'!H72</f>
        <v>Numero de laboaratorio que interveem no controlo de qualidade</v>
      </c>
      <c r="E89" s="152">
        <f>'PEN Final Ajustado 03-07'!J72</f>
        <v>5701.36</v>
      </c>
      <c r="F89" s="78">
        <f>'PEN Final Ajustado 03-07'!K72</f>
        <v>5701.36</v>
      </c>
      <c r="G89" s="78">
        <f>'PEN Final Ajustado 03-07'!L72</f>
        <v>5701.36</v>
      </c>
      <c r="H89" s="78">
        <f>'PEN Final Ajustado 03-07'!M72</f>
        <v>5701.36</v>
      </c>
      <c r="I89" s="78">
        <f>'PEN Final Ajustado 03-07'!N72</f>
        <v>5701.36</v>
      </c>
      <c r="J89" s="78">
        <f t="shared" si="11"/>
        <v>28506.799999999999</v>
      </c>
    </row>
    <row r="90" spans="2:10" ht="25.5">
      <c r="B90" s="1" t="str">
        <f>'PEN Final Ajustado 03-07'!B73</f>
        <v>4.4.1.1</v>
      </c>
      <c r="C90" s="1" t="str">
        <f>'PEN Final Ajustado 03-07'!C73</f>
        <v>Assistencia Técnica parao o controlo de qualidade externo supranacional</v>
      </c>
      <c r="D90" s="152">
        <f>'PEN Final Ajustado 03-07'!H73</f>
        <v>0</v>
      </c>
      <c r="E90" s="152">
        <f>'PEN Final Ajustado 03-07'!J73</f>
        <v>7701.97</v>
      </c>
      <c r="F90" s="78">
        <f>'PEN Final Ajustado 03-07'!K73</f>
        <v>7701.97</v>
      </c>
      <c r="G90" s="78">
        <f>'PEN Final Ajustado 03-07'!L73</f>
        <v>7701.97</v>
      </c>
      <c r="H90" s="78">
        <f>'PEN Final Ajustado 03-07'!M73</f>
        <v>7701.97</v>
      </c>
      <c r="I90" s="78">
        <f>'PEN Final Ajustado 03-07'!N73</f>
        <v>7701.97</v>
      </c>
      <c r="J90" s="78">
        <f t="shared" si="11"/>
        <v>38509.85</v>
      </c>
    </row>
    <row r="91" spans="2:10" ht="51">
      <c r="B91" s="11" t="str">
        <f>'PEN Final Ajustado 03-07'!B74</f>
        <v>4.4.2</v>
      </c>
      <c r="C91" s="11" t="str">
        <f>'PEN Final Ajustado 03-07'!C74</f>
        <v>Realizar controlo de qualidade das lâminas no laboratório nacional de referência, trimestralmente durante 5 anos</v>
      </c>
      <c r="D91" s="152" t="str">
        <f>'PEN Final Ajustado 03-07'!H74</f>
        <v xml:space="preserve">Numero de laboaratorio que interveem no controlo de qualidade </v>
      </c>
      <c r="E91" s="152">
        <f>'PEN Final Ajustado 03-07'!J74</f>
        <v>7592.33</v>
      </c>
      <c r="F91" s="78">
        <f>'PEN Final Ajustado 03-07'!K74</f>
        <v>7592.33</v>
      </c>
      <c r="G91" s="78">
        <f>'PEN Final Ajustado 03-07'!L74</f>
        <v>7592.33</v>
      </c>
      <c r="H91" s="78">
        <f>'PEN Final Ajustado 03-07'!M74</f>
        <v>7592.33</v>
      </c>
      <c r="I91" s="78">
        <f>'PEN Final Ajustado 03-07'!N74</f>
        <v>7592.33</v>
      </c>
      <c r="J91" s="78">
        <f t="shared" si="11"/>
        <v>37961.65</v>
      </c>
    </row>
    <row r="92" spans="2:10" ht="63.75">
      <c r="B92" s="11" t="str">
        <f>'PEN Final Ajustado 03-07'!B75</f>
        <v>4.7.1</v>
      </c>
      <c r="C92" s="11" t="str">
        <f>'PEN Final Ajustado 03-07'!C75</f>
        <v>Formar 25 Técnicos de Laboratórios (14 CDT, Incluindo 2 RAP, 6 HAM e 3 LNR) realização de Baciloscopia e controlo de qualidade (CQ) (1 sessão de 5 dias no Ano 1)</v>
      </c>
      <c r="D92" s="152" t="str">
        <f>'PEN Final Ajustado 03-07'!H75</f>
        <v>Nº de técnicos de laboratório formados</v>
      </c>
      <c r="E92" s="152">
        <f>'PEN Final Ajustado 03-07'!J75</f>
        <v>0</v>
      </c>
      <c r="F92" s="78">
        <f>'PEN Final Ajustado 03-07'!K75</f>
        <v>0</v>
      </c>
      <c r="G92" s="78">
        <f>'PEN Final Ajustado 03-07'!L75</f>
        <v>7622.22</v>
      </c>
      <c r="H92" s="78">
        <f>'PEN Final Ajustado 03-07'!M75</f>
        <v>0</v>
      </c>
      <c r="I92" s="78">
        <f>'PEN Final Ajustado 03-07'!N75</f>
        <v>0</v>
      </c>
      <c r="J92" s="78">
        <f t="shared" si="11"/>
        <v>7622.22</v>
      </c>
    </row>
    <row r="93" spans="2:10" ht="63.75">
      <c r="B93" s="11" t="str">
        <f>'PEN Final Ajustado 03-07'!B76</f>
        <v>4.7.2</v>
      </c>
      <c r="C93" s="11" t="str">
        <f>'PEN Final Ajustado 03-07'!C76</f>
        <v>Reciclar 25 Técnicos de Laboratórios (14 CDT, Incluindo 2 RAP, 6 HAM E 3 LNR) realização de Baciloscopia e controlo de qualidade (CQ) (1 sessão de 5 dias no Ano 3)</v>
      </c>
      <c r="D93" s="152" t="str">
        <f>'PEN Final Ajustado 03-07'!H76</f>
        <v>Nº de técnicos de laboratório formados</v>
      </c>
      <c r="E93" s="152">
        <f>'PEN Final Ajustado 03-07'!J76</f>
        <v>0</v>
      </c>
      <c r="F93" s="78">
        <f>'PEN Final Ajustado 03-07'!K76</f>
        <v>0</v>
      </c>
      <c r="G93" s="78">
        <f>'PEN Final Ajustado 03-07'!L76</f>
        <v>7622.22</v>
      </c>
      <c r="H93" s="78">
        <f>'PEN Final Ajustado 03-07'!M76</f>
        <v>7622.22</v>
      </c>
      <c r="I93" s="78">
        <f>'PEN Final Ajustado 03-07'!N76</f>
        <v>0</v>
      </c>
      <c r="J93" s="78">
        <f t="shared" si="11"/>
        <v>15244.44</v>
      </c>
    </row>
    <row r="94" spans="2:10" ht="38.25">
      <c r="B94" s="11" t="str">
        <f>'PEN Final Ajustado 03-07'!B77</f>
        <v>4.8</v>
      </c>
      <c r="C94" s="11" t="str">
        <f>'PEN Final Ajustado 03-07'!C77</f>
        <v>Implementar o APSR (directrizes nacionais de APSR, guia de gestão de casos: de contactos e SR)</v>
      </c>
      <c r="D94" s="152" t="str">
        <f>'PEN Final Ajustado 03-07'!H77</f>
        <v>Diretrizes de APSR disponível</v>
      </c>
      <c r="E94" s="152">
        <f>'PEN Final Ajustado 03-07'!J77</f>
        <v>5669.1900000000005</v>
      </c>
      <c r="F94" s="78">
        <f>'PEN Final Ajustado 03-07'!K77</f>
        <v>5669.1900000000005</v>
      </c>
      <c r="G94" s="78">
        <f>'PEN Final Ajustado 03-07'!L77</f>
        <v>0</v>
      </c>
      <c r="H94" s="78">
        <f>'PEN Final Ajustado 03-07'!M77</f>
        <v>0</v>
      </c>
      <c r="I94" s="78">
        <f>'PEN Final Ajustado 03-07'!N77</f>
        <v>0</v>
      </c>
      <c r="J94" s="78">
        <f t="shared" si="11"/>
        <v>11338.380000000001</v>
      </c>
    </row>
    <row r="95" spans="2:10" ht="25.5">
      <c r="B95" s="11" t="str">
        <f>'PEN Final Ajustado 03-07'!B78</f>
        <v>4.8.1</v>
      </c>
      <c r="C95" s="11" t="str">
        <f>'PEN Final Ajustado 03-07'!C78</f>
        <v xml:space="preserve">Financiamento das RX dos suspeitos e 325 pacientes TB </v>
      </c>
      <c r="D95" s="152" t="str">
        <f>'PEN Final Ajustado 03-07'!H78</f>
        <v>Diretrizes de APSR disponível</v>
      </c>
      <c r="E95" s="152">
        <f>'PEN Final Ajustado 03-07'!J78</f>
        <v>2708.33</v>
      </c>
      <c r="F95" s="78">
        <f>'PEN Final Ajustado 03-07'!K78</f>
        <v>2708.33</v>
      </c>
      <c r="G95" s="78">
        <f>'PEN Final Ajustado 03-07'!L78</f>
        <v>2708.33</v>
      </c>
      <c r="H95" s="78">
        <f>'PEN Final Ajustado 03-07'!M78</f>
        <v>2708.33</v>
      </c>
      <c r="I95" s="78">
        <f>'PEN Final Ajustado 03-07'!N78</f>
        <v>2708.33</v>
      </c>
      <c r="J95" s="78">
        <f t="shared" si="11"/>
        <v>13541.65</v>
      </c>
    </row>
    <row r="96" spans="2:10" ht="38.25">
      <c r="B96" s="11" t="str">
        <f>'PEN Final Ajustado 03-07'!B79</f>
        <v>4.9</v>
      </c>
      <c r="C96" s="11" t="str">
        <f>'PEN Final Ajustado 03-07'!C79</f>
        <v>1.9.Organizar visitas domiciliares em busca de contactos dos casos positivos, perdidos de vista.</v>
      </c>
      <c r="D96" s="152" t="str">
        <f>'PEN Final Ajustado 03-07'!H79</f>
        <v>Numero de conctatos notificados e seguidos</v>
      </c>
      <c r="E96" s="152">
        <f>'PEN Final Ajustado 03-07'!J79</f>
        <v>7140</v>
      </c>
      <c r="F96" s="78">
        <f>'PEN Final Ajustado 03-07'!K79</f>
        <v>7140</v>
      </c>
      <c r="G96" s="78">
        <f>'PEN Final Ajustado 03-07'!L79</f>
        <v>7140</v>
      </c>
      <c r="H96" s="78">
        <f>'PEN Final Ajustado 03-07'!M79</f>
        <v>7140</v>
      </c>
      <c r="I96" s="78">
        <f>'PEN Final Ajustado 03-07'!N79</f>
        <v>7140</v>
      </c>
      <c r="J96" s="78">
        <f t="shared" si="11"/>
        <v>35700</v>
      </c>
    </row>
    <row r="97" spans="2:10" ht="38.25">
      <c r="B97" s="11" t="str">
        <f>'PEN Final Ajustado 03-07'!B80</f>
        <v>4.10.1</v>
      </c>
      <c r="C97" s="11" t="str">
        <f>'PEN Final Ajustado 03-07'!C80</f>
        <v xml:space="preserve">Formar 15 formadores sobre Sintomáticos Respiratórios, 1 sessão de 5 dias no Ano 1 </v>
      </c>
      <c r="D97" s="152" t="str">
        <f>'PEN Final Ajustado 03-07'!H80</f>
        <v>Numero de pretadores de cuidados de saude capacitados</v>
      </c>
      <c r="E97" s="152">
        <f>'PEN Final Ajustado 03-07'!J80</f>
        <v>4161.3900000000003</v>
      </c>
      <c r="F97" s="78">
        <f>'PEN Final Ajustado 03-07'!K80</f>
        <v>0</v>
      </c>
      <c r="G97" s="78">
        <f>'PEN Final Ajustado 03-07'!L80</f>
        <v>0</v>
      </c>
      <c r="H97" s="78">
        <f>'PEN Final Ajustado 03-07'!M80</f>
        <v>0</v>
      </c>
      <c r="I97" s="78">
        <f>'PEN Final Ajustado 03-07'!N80</f>
        <v>0</v>
      </c>
      <c r="J97" s="78">
        <f t="shared" si="11"/>
        <v>4161.3900000000003</v>
      </c>
    </row>
    <row r="98" spans="2:10" ht="38.25">
      <c r="B98" s="11" t="str">
        <f>'PEN Final Ajustado 03-07'!B81</f>
        <v>4.10.2</v>
      </c>
      <c r="C98" s="11" t="str">
        <f>'PEN Final Ajustado 03-07'!C81</f>
        <v xml:space="preserve">Formar 100 tecnicos de saude sobre Sintomáticos Respiratórios, 4 sessão de 5 dias no Ano 1 </v>
      </c>
      <c r="D98" s="152" t="str">
        <f>'PEN Final Ajustado 03-07'!H81</f>
        <v>Numero de pretadores de cuidados de saude capacitados</v>
      </c>
      <c r="E98" s="152">
        <f>'PEN Final Ajustado 03-07'!J81</f>
        <v>0</v>
      </c>
      <c r="F98" s="78">
        <f>'PEN Final Ajustado 03-07'!K81</f>
        <v>0</v>
      </c>
      <c r="G98" s="78">
        <f>'PEN Final Ajustado 03-07'!L81</f>
        <v>20725.560000000001</v>
      </c>
      <c r="H98" s="78">
        <f>'PEN Final Ajustado 03-07'!M81</f>
        <v>0</v>
      </c>
      <c r="I98" s="78">
        <f>'PEN Final Ajustado 03-07'!N81</f>
        <v>0</v>
      </c>
      <c r="J98" s="78">
        <f t="shared" si="11"/>
        <v>20725.560000000001</v>
      </c>
    </row>
    <row r="99" spans="2:10" ht="38.25">
      <c r="B99" s="11" t="str">
        <f>'PEN Final Ajustado 03-07'!B82</f>
        <v>4.10.3</v>
      </c>
      <c r="C99" s="11" t="str">
        <f>'PEN Final Ajustado 03-07'!C82</f>
        <v>Reciclar 100 tecnicos de saude sobre Sintomáticos Respiratórios, 4 sessão de 5 dias no Ano 2</v>
      </c>
      <c r="D99" s="152">
        <f>'PEN Final Ajustado 03-07'!H82</f>
        <v>0</v>
      </c>
      <c r="E99" s="152">
        <f>'PEN Final Ajustado 03-07'!J82</f>
        <v>0</v>
      </c>
      <c r="F99" s="78">
        <f>'PEN Final Ajustado 03-07'!K82</f>
        <v>0</v>
      </c>
      <c r="G99" s="78">
        <f>'PEN Final Ajustado 03-07'!L82</f>
        <v>0</v>
      </c>
      <c r="H99" s="78">
        <f>'PEN Final Ajustado 03-07'!M82</f>
        <v>20725.560000000001</v>
      </c>
      <c r="I99" s="78">
        <f>'PEN Final Ajustado 03-07'!N82</f>
        <v>0</v>
      </c>
      <c r="J99" s="78">
        <f t="shared" si="11"/>
        <v>20725.560000000001</v>
      </c>
    </row>
    <row r="100" spans="2:10" ht="25.5">
      <c r="B100" s="11" t="str">
        <f>'PEN Final Ajustado 03-07'!B83</f>
        <v>4.11</v>
      </c>
      <c r="C100" s="11" t="str">
        <f>'PEN Final Ajustado 03-07'!C83</f>
        <v xml:space="preserve">1.12.Supervisionar trimestralmente os CDT </v>
      </c>
      <c r="D100" s="152" t="str">
        <f>'PEN Final Ajustado 03-07'!H83</f>
        <v>Numero de pretadores de cuidados de saude capacitados</v>
      </c>
      <c r="E100" s="152">
        <f>'PEN Final Ajustado 03-07'!J83</f>
        <v>3788.65</v>
      </c>
      <c r="F100" s="78">
        <f>'PEN Final Ajustado 03-07'!K83</f>
        <v>3788.65</v>
      </c>
      <c r="G100" s="78">
        <f>'PEN Final Ajustado 03-07'!L83</f>
        <v>3788.65</v>
      </c>
      <c r="H100" s="78">
        <f>'PEN Final Ajustado 03-07'!M83</f>
        <v>3788.65</v>
      </c>
      <c r="I100" s="78">
        <f>'PEN Final Ajustado 03-07'!N83</f>
        <v>3788.65</v>
      </c>
      <c r="J100" s="78">
        <f t="shared" si="11"/>
        <v>18943.25</v>
      </c>
    </row>
    <row r="101" spans="2:10" ht="38.25">
      <c r="B101" s="11" t="str">
        <f>'PEN Final Ajustado 03-07'!B84</f>
        <v>4.12</v>
      </c>
      <c r="C101" s="11" t="str">
        <f>'PEN Final Ajustado 03-07'!C84</f>
        <v>Aquisição de combustível para os distritos no apoio ao DOT ao nível comunitário</v>
      </c>
      <c r="D101" s="152">
        <f>'PEN Final Ajustado 03-07'!H84</f>
        <v>0</v>
      </c>
      <c r="E101" s="152">
        <f>'PEN Final Ajustado 03-07'!J84</f>
        <v>3070.2</v>
      </c>
      <c r="F101" s="78">
        <f>'PEN Final Ajustado 03-07'!K84</f>
        <v>3070.2</v>
      </c>
      <c r="G101" s="78">
        <f>'PEN Final Ajustado 03-07'!L84</f>
        <v>3070.2</v>
      </c>
      <c r="H101" s="78">
        <f>'PEN Final Ajustado 03-07'!M84</f>
        <v>3070.2</v>
      </c>
      <c r="I101" s="78">
        <f>'PEN Final Ajustado 03-07'!N84</f>
        <v>3070.2</v>
      </c>
      <c r="J101" s="78">
        <f t="shared" si="11"/>
        <v>15351</v>
      </c>
    </row>
    <row r="102" spans="2:10">
      <c r="B102" s="11" t="str">
        <f>'PEN Final Ajustado 03-07'!B85</f>
        <v>4.13</v>
      </c>
      <c r="C102" s="11" t="str">
        <f>'PEN Final Ajustado 03-07'!C85</f>
        <v>Adquirir um microscopio de LED</v>
      </c>
      <c r="D102" s="152">
        <f>'PEN Final Ajustado 03-07'!H85</f>
        <v>0</v>
      </c>
      <c r="E102" s="152">
        <f>'PEN Final Ajustado 03-07'!J85</f>
        <v>0</v>
      </c>
      <c r="F102" s="78">
        <f>'PEN Final Ajustado 03-07'!K85</f>
        <v>0</v>
      </c>
      <c r="G102" s="78">
        <f>'PEN Final Ajustado 03-07'!L85</f>
        <v>5000</v>
      </c>
      <c r="H102" s="78">
        <f>'PEN Final Ajustado 03-07'!M85</f>
        <v>0</v>
      </c>
      <c r="I102" s="78">
        <f>'PEN Final Ajustado 03-07'!N85</f>
        <v>0</v>
      </c>
      <c r="J102" s="78">
        <f t="shared" si="11"/>
        <v>5000</v>
      </c>
    </row>
    <row r="105" spans="2:10" ht="25.5">
      <c r="C105" s="257" t="s">
        <v>914</v>
      </c>
      <c r="D105" s="262" t="s">
        <v>267</v>
      </c>
      <c r="E105" s="257" t="s">
        <v>272</v>
      </c>
      <c r="F105" s="257" t="s">
        <v>271</v>
      </c>
      <c r="G105" s="257" t="s">
        <v>270</v>
      </c>
      <c r="H105" s="257" t="s">
        <v>269</v>
      </c>
      <c r="I105" s="258" t="s">
        <v>268</v>
      </c>
      <c r="J105" s="257" t="s">
        <v>414</v>
      </c>
    </row>
    <row r="106" spans="2:10">
      <c r="B106" s="254" t="s">
        <v>276</v>
      </c>
      <c r="C106" s="254" t="s">
        <v>402</v>
      </c>
      <c r="D106" s="263"/>
      <c r="E106" s="255">
        <f t="shared" ref="E106:I106" si="12">SUM(E107:E116)</f>
        <v>7775.2</v>
      </c>
      <c r="F106" s="255">
        <f t="shared" si="12"/>
        <v>53485.279999999999</v>
      </c>
      <c r="G106" s="255">
        <f t="shared" si="12"/>
        <v>19816.060000000001</v>
      </c>
      <c r="H106" s="255">
        <f t="shared" si="12"/>
        <v>30966.010000000002</v>
      </c>
      <c r="I106" s="255">
        <f t="shared" si="12"/>
        <v>23582.82</v>
      </c>
      <c r="J106" s="255">
        <f>SUM(J107:J116)</f>
        <v>135625.37</v>
      </c>
    </row>
    <row r="107" spans="2:10" ht="25.5">
      <c r="B107" s="10" t="str">
        <f>'PEN Final Ajustado 03-07'!B86</f>
        <v>5.1</v>
      </c>
      <c r="C107" s="11" t="str">
        <f>'PEN Final Ajustado 03-07'!C86</f>
        <v>Revisão  e impressão (do guia de manejo de caso de TB, modulos de formação)</v>
      </c>
      <c r="D107" s="152" t="str">
        <f>'PEN Final Ajustado 03-07'!H86</f>
        <v>Numero de documentos impressos</v>
      </c>
      <c r="E107" s="152">
        <f>'PEN Final Ajustado 03-07'!J86</f>
        <v>0</v>
      </c>
      <c r="F107" s="152">
        <f>'PEN Final Ajustado 03-07'!K86</f>
        <v>20571.22</v>
      </c>
      <c r="G107" s="152">
        <f>'PEN Final Ajustado 03-07'!L86</f>
        <v>0</v>
      </c>
      <c r="H107" s="152">
        <f>'PEN Final Ajustado 03-07'!M86</f>
        <v>0</v>
      </c>
      <c r="I107" s="152">
        <f>'PEN Final Ajustado 03-07'!N86</f>
        <v>0</v>
      </c>
      <c r="J107" s="78">
        <f t="shared" ref="J107:J116" si="13">SUM(E107:I107)</f>
        <v>20571.22</v>
      </c>
    </row>
    <row r="108" spans="2:10" ht="25.5">
      <c r="B108" s="10" t="str">
        <f>'PEN Final Ajustado 03-07'!B87</f>
        <v>5.2</v>
      </c>
      <c r="C108" s="11" t="str">
        <f>'PEN Final Ajustado 03-07'!C87</f>
        <v>Assegurar o aprovisionamento em antituberculosos de 1º linha (pacote)</v>
      </c>
      <c r="D108" s="152" t="str">
        <f>'PEN Final Ajustado 03-07'!H87</f>
        <v>Numero de dias de ruptura</v>
      </c>
      <c r="E108" s="152">
        <f>'PEN Final Ajustado 03-07'!J87</f>
        <v>3933</v>
      </c>
      <c r="F108" s="152">
        <f>'PEN Final Ajustado 03-07'!K87</f>
        <v>7222</v>
      </c>
      <c r="G108" s="152">
        <f>'PEN Final Ajustado 03-07'!L87</f>
        <v>8050</v>
      </c>
      <c r="H108" s="152">
        <f>'PEN Final Ajustado 03-07'!M87</f>
        <v>4370</v>
      </c>
      <c r="I108" s="152">
        <f>'PEN Final Ajustado 03-07'!N87</f>
        <v>9430</v>
      </c>
      <c r="J108" s="78">
        <f t="shared" si="13"/>
        <v>33005</v>
      </c>
    </row>
    <row r="109" spans="2:10" ht="38.25">
      <c r="B109" s="10" t="str">
        <f>'PEN Final Ajustado 03-07'!B88</f>
        <v>5.2.1</v>
      </c>
      <c r="C109" s="11" t="str">
        <f>'PEN Final Ajustado 03-07'!C88</f>
        <v>Adquirir medicamentos para retratamento de 53 doentes durante 5 Anos</v>
      </c>
      <c r="D109" s="152">
        <f>'PEN Final Ajustado 03-07'!H88</f>
        <v>0</v>
      </c>
      <c r="E109" s="152">
        <f>'PEN Final Ajustado 03-07'!J88</f>
        <v>640</v>
      </c>
      <c r="F109" s="152">
        <f>'PEN Final Ajustado 03-07'!K88</f>
        <v>448</v>
      </c>
      <c r="G109" s="152">
        <f>'PEN Final Ajustado 03-07'!L88</f>
        <v>1280</v>
      </c>
      <c r="H109" s="152">
        <f>'PEN Final Ajustado 03-07'!M88</f>
        <v>832</v>
      </c>
      <c r="I109" s="152">
        <f>'PEN Final Ajustado 03-07'!N88</f>
        <v>2304</v>
      </c>
      <c r="J109" s="78">
        <f t="shared" si="13"/>
        <v>5504</v>
      </c>
    </row>
    <row r="110" spans="2:10" ht="38.25">
      <c r="B110" s="10" t="str">
        <f>'PEN Final Ajustado 03-07'!B89</f>
        <v>5.2.2</v>
      </c>
      <c r="C110" s="11" t="str">
        <f>'PEN Final Ajustado 03-07'!C89</f>
        <v>Adquirir medicamentos de primeira linha para tratar um total de 19 crianças durante 5 Anos</v>
      </c>
      <c r="D110" s="152">
        <f>'PEN Final Ajustado 03-07'!H89</f>
        <v>0</v>
      </c>
      <c r="E110" s="152">
        <f>'PEN Final Ajustado 03-07'!J89</f>
        <v>132</v>
      </c>
      <c r="F110" s="152">
        <f>'PEN Final Ajustado 03-07'!K89</f>
        <v>66</v>
      </c>
      <c r="G110" s="152">
        <f>'PEN Final Ajustado 03-07'!L89</f>
        <v>132</v>
      </c>
      <c r="H110" s="152">
        <f>'PEN Final Ajustado 03-07'!M89</f>
        <v>110</v>
      </c>
      <c r="I110" s="152">
        <f>'PEN Final Ajustado 03-07'!N89</f>
        <v>220</v>
      </c>
      <c r="J110" s="78">
        <f t="shared" si="13"/>
        <v>660</v>
      </c>
    </row>
    <row r="111" spans="2:10" ht="51">
      <c r="B111" s="18" t="str">
        <f>'PEN Final Ajustado 03-07'!B90</f>
        <v>5.3</v>
      </c>
      <c r="C111" s="1" t="str">
        <f>'PEN Final Ajustado 03-07'!C90</f>
        <v>Assegurar o controlo de qualidade nacional (CQ) dos medicamentos nos postos de distribuição (laboratório a ser identificado)</v>
      </c>
      <c r="D111" s="152" t="str">
        <f>'PEN Final Ajustado 03-07'!H90</f>
        <v>Numero de relatório de CQ</v>
      </c>
      <c r="E111" s="152">
        <f>'PEN Final Ajustado 03-07'!J90</f>
        <v>0</v>
      </c>
      <c r="F111" s="152">
        <f>'PEN Final Ajustado 03-07'!K90</f>
        <v>658.41</v>
      </c>
      <c r="G111" s="152">
        <f>'PEN Final Ajustado 03-07'!L90</f>
        <v>1783.86</v>
      </c>
      <c r="H111" s="152">
        <f>'PEN Final Ajustado 03-07'!M90</f>
        <v>1134.3599999999999</v>
      </c>
      <c r="I111" s="152">
        <f>'PEN Final Ajustado 03-07'!N90</f>
        <v>3058.62</v>
      </c>
      <c r="J111" s="78">
        <f t="shared" si="13"/>
        <v>6635.25</v>
      </c>
    </row>
    <row r="112" spans="2:10" ht="25.5">
      <c r="B112" s="10" t="str">
        <f>'PEN Final Ajustado 03-07'!B93</f>
        <v>5.6</v>
      </c>
      <c r="C112" s="11" t="str">
        <f>'PEN Final Ajustado 03-07'!C93</f>
        <v>Assegurar a aplicação do tratamento directamente observado</v>
      </c>
      <c r="D112" s="152" t="str">
        <f>'PEN Final Ajustado 03-07'!H93</f>
        <v>Percentagem de estruturas que aplicam TODO</v>
      </c>
      <c r="E112" s="152">
        <f>'PEN Final Ajustado 03-07'!J93</f>
        <v>3070.2</v>
      </c>
      <c r="F112" s="152">
        <f>'PEN Final Ajustado 03-07'!K93</f>
        <v>3070.2</v>
      </c>
      <c r="G112" s="152">
        <f>'PEN Final Ajustado 03-07'!L93</f>
        <v>3070.2</v>
      </c>
      <c r="H112" s="152">
        <f>'PEN Final Ajustado 03-07'!M93</f>
        <v>3070.2</v>
      </c>
      <c r="I112" s="152">
        <f>'PEN Final Ajustado 03-07'!N93</f>
        <v>3070.2</v>
      </c>
      <c r="J112" s="78">
        <f t="shared" si="13"/>
        <v>15351</v>
      </c>
    </row>
    <row r="113" spans="2:10" ht="25.5">
      <c r="B113" s="10" t="str">
        <f>'PEN Final Ajustado 03-07'!B96</f>
        <v>5.8</v>
      </c>
      <c r="C113" s="11" t="str">
        <f>'PEN Final Ajustado 03-07'!C96</f>
        <v>Apoio nutricional e Psico-social à 150 pacientes, durante 5 anos</v>
      </c>
      <c r="D113" s="152">
        <f>'PEN Final Ajustado 03-07'!H96</f>
        <v>0</v>
      </c>
      <c r="E113" s="152">
        <f>'PEN Final Ajustado 03-07'!J96</f>
        <v>0</v>
      </c>
      <c r="F113" s="152">
        <f>'PEN Final Ajustado 03-07'!K96</f>
        <v>3000</v>
      </c>
      <c r="G113" s="152">
        <f>'PEN Final Ajustado 03-07'!L96</f>
        <v>3000</v>
      </c>
      <c r="H113" s="152">
        <f>'PEN Final Ajustado 03-07'!M96</f>
        <v>3000</v>
      </c>
      <c r="I113" s="152">
        <f>'PEN Final Ajustado 03-07'!N96</f>
        <v>3000</v>
      </c>
      <c r="J113" s="78">
        <f t="shared" si="13"/>
        <v>12000</v>
      </c>
    </row>
    <row r="114" spans="2:10" ht="63.75">
      <c r="B114" s="10" t="str">
        <f>'PEN Final Ajustado 03-07'!B97</f>
        <v>5.9</v>
      </c>
      <c r="C114" s="11" t="str">
        <f>'PEN Final Ajustado 03-07'!C97</f>
        <v>Formar e reciclar Médicos em manejo dos casos e estratégia Stop TB, co-infecção TB/HIV (5 Dias, 40 participantes) 20 participantes no ano 1 e 20 no ano 3</v>
      </c>
      <c r="D114" s="152">
        <f>'PEN Final Ajustado 03-07'!H97</f>
        <v>0</v>
      </c>
      <c r="E114" s="152">
        <f>'PEN Final Ajustado 03-07'!J97</f>
        <v>0</v>
      </c>
      <c r="F114" s="152">
        <f>'PEN Final Ajustado 03-07'!K97</f>
        <v>6143.39</v>
      </c>
      <c r="G114" s="152">
        <f>'PEN Final Ajustado 03-07'!L97</f>
        <v>0</v>
      </c>
      <c r="H114" s="152">
        <f>'PEN Final Ajustado 03-07'!M97</f>
        <v>6143.39</v>
      </c>
      <c r="I114" s="152">
        <f>'PEN Final Ajustado 03-07'!N97</f>
        <v>0</v>
      </c>
      <c r="J114" s="78">
        <f t="shared" si="13"/>
        <v>12286.78</v>
      </c>
    </row>
    <row r="115" spans="2:10" ht="63.75">
      <c r="B115" s="10" t="str">
        <f>'PEN Final Ajustado 03-07'!B98</f>
        <v>5.10</v>
      </c>
      <c r="C115" s="11" t="str">
        <f>'PEN Final Ajustado 03-07'!C98</f>
        <v xml:space="preserve"> Formar 100 enfermeiros em manejo dos casos e estratégia Stop TB, co-infecção TB/HIV e  (2 sessões por ano de 5 Dias 50 no ano 1 e 50 no ano 3), Sendo 80 ST+20 RAP</v>
      </c>
      <c r="D115" s="152">
        <f>'PEN Final Ajustado 03-07'!H98</f>
        <v>0</v>
      </c>
      <c r="E115" s="152">
        <f>'PEN Final Ajustado 03-07'!J98</f>
        <v>0</v>
      </c>
      <c r="F115" s="152">
        <f>'PEN Final Ajustado 03-07'!K98</f>
        <v>9806.06</v>
      </c>
      <c r="G115" s="152">
        <f>'PEN Final Ajustado 03-07'!L98</f>
        <v>0</v>
      </c>
      <c r="H115" s="152">
        <f>'PEN Final Ajustado 03-07'!M98</f>
        <v>9806.06</v>
      </c>
      <c r="I115" s="152">
        <f>'PEN Final Ajustado 03-07'!N98</f>
        <v>0</v>
      </c>
      <c r="J115" s="78">
        <f t="shared" si="13"/>
        <v>19612.12</v>
      </c>
    </row>
    <row r="116" spans="2:10">
      <c r="B116" s="10" t="str">
        <f>'PEN Final Ajustado 03-07'!B99</f>
        <v>5.11</v>
      </c>
      <c r="C116" s="14" t="str">
        <f>'PEN Final Ajustado 03-07'!C99</f>
        <v xml:space="preserve">Gestão dos efeitos secundários </v>
      </c>
      <c r="D116" s="152">
        <f>'PEN Final Ajustado 03-07'!H99</f>
        <v>0</v>
      </c>
      <c r="E116" s="152">
        <f>'PEN Final Ajustado 03-07'!J99</f>
        <v>0</v>
      </c>
      <c r="F116" s="152">
        <f>'PEN Final Ajustado 03-07'!K99</f>
        <v>2500</v>
      </c>
      <c r="G116" s="152">
        <f>'PEN Final Ajustado 03-07'!L99</f>
        <v>2500</v>
      </c>
      <c r="H116" s="152">
        <f>'PEN Final Ajustado 03-07'!M99</f>
        <v>2500</v>
      </c>
      <c r="I116" s="152">
        <f>'PEN Final Ajustado 03-07'!N99</f>
        <v>2500</v>
      </c>
      <c r="J116" s="78">
        <f t="shared" si="13"/>
        <v>10000</v>
      </c>
    </row>
    <row r="119" spans="2:10" ht="25.5">
      <c r="C119" s="257" t="s">
        <v>914</v>
      </c>
      <c r="D119" s="262" t="s">
        <v>267</v>
      </c>
      <c r="E119" s="257" t="s">
        <v>272</v>
      </c>
      <c r="F119" s="257" t="s">
        <v>271</v>
      </c>
      <c r="G119" s="257" t="s">
        <v>270</v>
      </c>
      <c r="H119" s="257" t="s">
        <v>269</v>
      </c>
      <c r="I119" s="258" t="s">
        <v>268</v>
      </c>
      <c r="J119" s="257" t="s">
        <v>414</v>
      </c>
    </row>
    <row r="120" spans="2:10">
      <c r="B120" s="254" t="s">
        <v>276</v>
      </c>
      <c r="C120" s="254" t="s">
        <v>403</v>
      </c>
      <c r="D120" s="263"/>
      <c r="E120" s="255">
        <f t="shared" ref="E120:I120" si="14">SUM(E121:E126)</f>
        <v>37277.760000000002</v>
      </c>
      <c r="F120" s="255">
        <f t="shared" si="14"/>
        <v>42464.68</v>
      </c>
      <c r="G120" s="255">
        <f t="shared" si="14"/>
        <v>37277.760000000002</v>
      </c>
      <c r="H120" s="255">
        <f t="shared" si="14"/>
        <v>42465.68</v>
      </c>
      <c r="I120" s="255">
        <f t="shared" si="14"/>
        <v>37277.760000000002</v>
      </c>
      <c r="J120" s="255">
        <f>SUM(J121:J126)</f>
        <v>196763.64000000004</v>
      </c>
    </row>
    <row r="121" spans="2:10" ht="63.75">
      <c r="B121" s="10" t="str">
        <f>'PEN Final Ajustado 03-07'!B57</f>
        <v>3.1</v>
      </c>
      <c r="C121" s="14" t="str">
        <f>'PEN Final Ajustado 03-07'!C57</f>
        <v>Elaborar e reproduzir Kit de Comunicação com mensagens chaves de TB (folhetos, cartazes, bandeirolas, painel gigante e álbum seriado)(colocar antes das palestras)</v>
      </c>
      <c r="D121" s="42" t="str">
        <f>'PEN Final Ajustado 03-07'!H57</f>
        <v>Número de KIT elaborados e disponíveis</v>
      </c>
      <c r="E121" s="152">
        <f>'PEN Final Ajustado 03-07'!J57</f>
        <v>3722.2200000000003</v>
      </c>
      <c r="F121" s="152">
        <f>'PEN Final Ajustado 03-07'!K57</f>
        <v>3722.2200000000003</v>
      </c>
      <c r="G121" s="152">
        <f>'PEN Final Ajustado 03-07'!L57</f>
        <v>3722.2200000000003</v>
      </c>
      <c r="H121" s="152">
        <f>'PEN Final Ajustado 03-07'!M57</f>
        <v>3722.2200000000003</v>
      </c>
      <c r="I121" s="152">
        <f>'PEN Final Ajustado 03-07'!N57</f>
        <v>3722.2200000000003</v>
      </c>
      <c r="J121" s="78">
        <f t="shared" ref="J121:J126" si="15">SUM(E121:I121)</f>
        <v>18611.100000000002</v>
      </c>
    </row>
    <row r="122" spans="2:10" ht="25.5">
      <c r="B122" s="10" t="str">
        <f>'PEN Final Ajustado 03-07'!B58</f>
        <v>3.2</v>
      </c>
      <c r="C122" s="14" t="str">
        <f>'PEN Final Ajustado 03-07'!C58</f>
        <v>Elaborar/adaptar e difundir Spot televisivo e radiofónico</v>
      </c>
      <c r="D122" s="42" t="str">
        <f>'PEN Final Ajustado 03-07'!H58</f>
        <v>Numero de SPOT elaborados e difundidos</v>
      </c>
      <c r="E122" s="152">
        <f>'PEN Final Ajustado 03-07'!J58</f>
        <v>3722.2200000000003</v>
      </c>
      <c r="F122" s="152">
        <f>'PEN Final Ajustado 03-07'!K58</f>
        <v>3722.2200000000003</v>
      </c>
      <c r="G122" s="152">
        <f>'PEN Final Ajustado 03-07'!L58</f>
        <v>3722.2200000000003</v>
      </c>
      <c r="H122" s="152">
        <f>'PEN Final Ajustado 03-07'!M58</f>
        <v>3722.2200000000003</v>
      </c>
      <c r="I122" s="152">
        <f>'PEN Final Ajustado 03-07'!N58</f>
        <v>3722.2200000000003</v>
      </c>
      <c r="J122" s="78">
        <f t="shared" si="15"/>
        <v>18611.100000000002</v>
      </c>
    </row>
    <row r="123" spans="2:10" ht="38.25">
      <c r="B123" s="10" t="str">
        <f>'PEN Final Ajustado 03-07'!B65</f>
        <v>3.6</v>
      </c>
      <c r="C123" s="14" t="str">
        <f>'PEN Final Ajustado 03-07'!C65</f>
        <v>Realizar palestras de sensibilização ( na escola, igrejas, prisão, quartel militar, Jornalistas e nas comunidades)</v>
      </c>
      <c r="D123" s="42" t="str">
        <f>'PEN Final Ajustado 03-07'!H65</f>
        <v>Numero de palestras realizadas</v>
      </c>
      <c r="E123" s="152">
        <f>'PEN Final Ajustado 03-07'!J65</f>
        <v>18499.990000000002</v>
      </c>
      <c r="F123" s="152">
        <f>'PEN Final Ajustado 03-07'!K65</f>
        <v>18499.990000000002</v>
      </c>
      <c r="G123" s="152">
        <f>'PEN Final Ajustado 03-07'!L65</f>
        <v>18499.990000000002</v>
      </c>
      <c r="H123" s="152">
        <f>'PEN Final Ajustado 03-07'!M65</f>
        <v>18499.990000000002</v>
      </c>
      <c r="I123" s="152">
        <f>'PEN Final Ajustado 03-07'!N65</f>
        <v>18499.990000000002</v>
      </c>
      <c r="J123" s="78">
        <f t="shared" si="15"/>
        <v>92499.950000000012</v>
      </c>
    </row>
    <row r="124" spans="2:10" ht="25.5">
      <c r="B124" s="10" t="str">
        <f>'PEN Final Ajustado 03-07'!B66</f>
        <v>3.7</v>
      </c>
      <c r="C124" s="14" t="str">
        <f>'PEN Final Ajustado 03-07'!C66</f>
        <v>Organização do dia Mundial de Luta contra TB</v>
      </c>
      <c r="D124" s="42" t="str">
        <f>'PEN Final Ajustado 03-07'!H66</f>
        <v>Relatório disponível</v>
      </c>
      <c r="E124" s="152">
        <f>'PEN Final Ajustado 03-07'!J66</f>
        <v>11333.33</v>
      </c>
      <c r="F124" s="152">
        <f>'PEN Final Ajustado 03-07'!K66</f>
        <v>11333.33</v>
      </c>
      <c r="G124" s="152">
        <f>'PEN Final Ajustado 03-07'!L66</f>
        <v>11333.33</v>
      </c>
      <c r="H124" s="152">
        <f>'PEN Final Ajustado 03-07'!M66</f>
        <v>11333.33</v>
      </c>
      <c r="I124" s="152">
        <f>'PEN Final Ajustado 03-07'!N66</f>
        <v>11333.33</v>
      </c>
      <c r="J124" s="78">
        <f t="shared" si="15"/>
        <v>56666.65</v>
      </c>
    </row>
    <row r="125" spans="2:10" ht="25.5">
      <c r="B125" s="10" t="str">
        <f>'PEN Final Ajustado 03-07'!B67</f>
        <v>3.8</v>
      </c>
      <c r="C125" s="14" t="str">
        <f>'PEN Final Ajustado 03-07'!C67</f>
        <v xml:space="preserve">Formar 30 Jornalistas (rádio, televisão, jornal), 3 dias, Ano 1 </v>
      </c>
      <c r="D125" s="43">
        <f>'PEN Final Ajustado 03-07'!H67</f>
        <v>0</v>
      </c>
      <c r="E125" s="152">
        <f>'PEN Final Ajustado 03-07'!J67</f>
        <v>0</v>
      </c>
      <c r="F125" s="152">
        <f>'PEN Final Ajustado 03-07'!K67</f>
        <v>5186.92</v>
      </c>
      <c r="G125" s="152">
        <f>'PEN Final Ajustado 03-07'!L67</f>
        <v>0</v>
      </c>
      <c r="H125" s="152">
        <f>'PEN Final Ajustado 03-07'!M67</f>
        <v>0</v>
      </c>
      <c r="I125" s="152">
        <f>'PEN Final Ajustado 03-07'!N67</f>
        <v>0</v>
      </c>
      <c r="J125" s="78">
        <f t="shared" si="15"/>
        <v>5186.92</v>
      </c>
    </row>
    <row r="126" spans="2:10" ht="25.5">
      <c r="B126" s="10" t="str">
        <f>'PEN Final Ajustado 03-07'!B68</f>
        <v>3.9</v>
      </c>
      <c r="C126" s="14" t="str">
        <f>'PEN Final Ajustado 03-07'!C68</f>
        <v>Reciclar 30 Jornalistas (rádio, televisão, jornal), 3 dias, Ano 2</v>
      </c>
      <c r="D126" s="43">
        <f>'PEN Final Ajustado 03-07'!H68</f>
        <v>0</v>
      </c>
      <c r="E126" s="152">
        <f>'PEN Final Ajustado 03-07'!J68</f>
        <v>0</v>
      </c>
      <c r="F126" s="152">
        <f>'PEN Final Ajustado 03-07'!K68</f>
        <v>0</v>
      </c>
      <c r="G126" s="152">
        <f>'PEN Final Ajustado 03-07'!L68</f>
        <v>0</v>
      </c>
      <c r="H126" s="152">
        <f>'PEN Final Ajustado 03-07'!M68</f>
        <v>5187.92</v>
      </c>
      <c r="I126" s="152">
        <f>'PEN Final Ajustado 03-07'!N68</f>
        <v>0</v>
      </c>
      <c r="J126" s="78">
        <f t="shared" si="15"/>
        <v>5187.92</v>
      </c>
    </row>
    <row r="128" spans="2:10" ht="25.5">
      <c r="C128" s="257" t="s">
        <v>914</v>
      </c>
      <c r="D128" s="262" t="s">
        <v>267</v>
      </c>
      <c r="E128" s="257" t="s">
        <v>272</v>
      </c>
      <c r="F128" s="257" t="s">
        <v>271</v>
      </c>
      <c r="G128" s="257" t="s">
        <v>270</v>
      </c>
      <c r="H128" s="257" t="s">
        <v>269</v>
      </c>
      <c r="I128" s="258" t="s">
        <v>268</v>
      </c>
      <c r="J128" s="257" t="s">
        <v>414</v>
      </c>
    </row>
    <row r="129" spans="2:10">
      <c r="B129" s="371" t="s">
        <v>276</v>
      </c>
      <c r="C129" s="371" t="s">
        <v>404</v>
      </c>
      <c r="D129" s="372"/>
      <c r="E129" s="373">
        <f t="shared" ref="E129:J129" si="16">SUM(E130:E133)</f>
        <v>19562.891999999996</v>
      </c>
      <c r="F129" s="373">
        <f t="shared" si="16"/>
        <v>0</v>
      </c>
      <c r="G129" s="373">
        <f t="shared" si="16"/>
        <v>31419.589999999997</v>
      </c>
      <c r="H129" s="373">
        <f t="shared" si="16"/>
        <v>11856.72</v>
      </c>
      <c r="I129" s="373">
        <f t="shared" si="16"/>
        <v>0</v>
      </c>
      <c r="J129" s="373">
        <f t="shared" si="16"/>
        <v>62839.201999999997</v>
      </c>
    </row>
    <row r="130" spans="2:10" ht="38.25">
      <c r="B130" s="10" t="str">
        <f>'PEN Final Ajustado 03-07'!B63</f>
        <v>3.5</v>
      </c>
      <c r="C130" s="14" t="str">
        <f>'PEN Final Ajustado 03-07'!C63</f>
        <v>Formar (100) ASC e activistas (em gestão das actividades comunitária/sensibilização sobre TB).</v>
      </c>
      <c r="D130" s="78" t="str">
        <f>'PEN Final Ajustado 03-07'!H63</f>
        <v>Numero de pessoal formados</v>
      </c>
      <c r="E130" s="78">
        <f>'PEN Final Ajustado 03-07'!J63</f>
        <v>19562.891999999996</v>
      </c>
      <c r="F130" s="78">
        <f>'PEN Final Ajustado 03-07'!K63</f>
        <v>0</v>
      </c>
      <c r="G130" s="78">
        <f>'PEN Final Ajustado 03-07'!L63</f>
        <v>0</v>
      </c>
      <c r="H130" s="78">
        <f>'PEN Final Ajustado 03-07'!M63</f>
        <v>0</v>
      </c>
      <c r="I130" s="78">
        <f>'PEN Final Ajustado 03-07'!N63</f>
        <v>0</v>
      </c>
      <c r="J130" s="78">
        <f t="shared" ref="J130:J133" si="17">SUM(E130:I130)</f>
        <v>19562.891999999996</v>
      </c>
    </row>
    <row r="131" spans="2:10" ht="38.25">
      <c r="B131" s="10" t="str">
        <f>'PEN Final Ajustado 03-07'!B64</f>
        <v>3.5.1</v>
      </c>
      <c r="C131" s="11" t="str">
        <f>'PEN Final Ajustado 03-07'!C64</f>
        <v>Reciclar (100) ASC e activistas (em gestão das actividades comunitária/sensibilização sobre TB).</v>
      </c>
      <c r="D131" s="78">
        <f>'PEN Final Ajustado 03-07'!H64</f>
        <v>0</v>
      </c>
      <c r="E131" s="78">
        <f>'PEN Final Ajustado 03-07'!J64</f>
        <v>0</v>
      </c>
      <c r="F131" s="78">
        <f>'PEN Final Ajustado 03-07'!K64</f>
        <v>0</v>
      </c>
      <c r="G131" s="78">
        <f>'PEN Final Ajustado 03-07'!L64</f>
        <v>19562.87</v>
      </c>
      <c r="H131" s="78">
        <f>'PEN Final Ajustado 03-07'!M64</f>
        <v>0</v>
      </c>
      <c r="I131" s="78">
        <f>'PEN Final Ajustado 03-07'!N64</f>
        <v>0</v>
      </c>
      <c r="J131" s="78">
        <f t="shared" si="17"/>
        <v>19562.87</v>
      </c>
    </row>
    <row r="132" spans="2:10" ht="76.5">
      <c r="B132" s="10" t="str">
        <f>'PEN Final Ajustado 03-07'!B94</f>
        <v>5.7.1</v>
      </c>
      <c r="C132" s="11" t="str">
        <f>'PEN Final Ajustado 03-07'!C94</f>
        <v xml:space="preserve"> Formar 50 Activistas de ONG, Associações Locais e (10) Socoristas para sensibilização das comunidades sobre TB  (TB/HIV; TB/MR)- (5 Dias, em 2 sessões de 20 pessoas em ST e uma sessão de 10 pessoas na RAP, Ano 1)</v>
      </c>
      <c r="D132" s="78">
        <f>'PEN Final Ajustado 03-07'!H94</f>
        <v>0</v>
      </c>
      <c r="E132" s="78">
        <f>'PEN Final Ajustado 03-07'!J94</f>
        <v>0</v>
      </c>
      <c r="F132" s="78">
        <f>'PEN Final Ajustado 03-07'!K94</f>
        <v>0</v>
      </c>
      <c r="G132" s="78">
        <f>'PEN Final Ajustado 03-07'!L94</f>
        <v>11856.72</v>
      </c>
      <c r="H132" s="78">
        <f>'PEN Final Ajustado 03-07'!M94</f>
        <v>0</v>
      </c>
      <c r="I132" s="78">
        <f>'PEN Final Ajustado 03-07'!N94</f>
        <v>0</v>
      </c>
      <c r="J132" s="78">
        <f t="shared" si="17"/>
        <v>11856.72</v>
      </c>
    </row>
    <row r="133" spans="2:10" ht="76.5">
      <c r="B133" s="10" t="str">
        <f>'PEN Final Ajustado 03-07'!B95</f>
        <v>5.7.2</v>
      </c>
      <c r="C133" s="11" t="str">
        <f>'PEN Final Ajustado 03-07'!C95</f>
        <v xml:space="preserve"> Reciclar 50 Activistas de ONG, Associações Locais e (10) Socoristas para sensibilização das comunidades sobre TB  (TB/HIV; TB/MR)- (5 Dias, em 2 sessões de 20 pessoas em ST e uma sessão de 10 pessoas na RAP, ano 3)</v>
      </c>
      <c r="D133" s="78">
        <f>'PEN Final Ajustado 03-07'!H95</f>
        <v>0</v>
      </c>
      <c r="E133" s="78">
        <f>'PEN Final Ajustado 03-07'!J95</f>
        <v>0</v>
      </c>
      <c r="F133" s="78">
        <f>'PEN Final Ajustado 03-07'!K95</f>
        <v>0</v>
      </c>
      <c r="G133" s="78">
        <f>'PEN Final Ajustado 03-07'!L95</f>
        <v>0</v>
      </c>
      <c r="H133" s="78">
        <f>'PEN Final Ajustado 03-07'!M95</f>
        <v>11856.72</v>
      </c>
      <c r="I133" s="78">
        <f>'PEN Final Ajustado 03-07'!N95</f>
        <v>0</v>
      </c>
      <c r="J133" s="78">
        <f t="shared" si="17"/>
        <v>11856.72</v>
      </c>
    </row>
    <row r="137" spans="2:10" ht="25.5">
      <c r="C137" s="257" t="s">
        <v>914</v>
      </c>
      <c r="D137" s="262" t="s">
        <v>267</v>
      </c>
      <c r="E137" s="257" t="s">
        <v>272</v>
      </c>
      <c r="F137" s="257" t="s">
        <v>271</v>
      </c>
      <c r="G137" s="257" t="s">
        <v>270</v>
      </c>
      <c r="H137" s="257" t="s">
        <v>269</v>
      </c>
      <c r="I137" s="258" t="s">
        <v>268</v>
      </c>
      <c r="J137" s="257" t="s">
        <v>414</v>
      </c>
    </row>
    <row r="138" spans="2:10">
      <c r="B138" s="254" t="s">
        <v>276</v>
      </c>
      <c r="C138" s="254" t="s">
        <v>405</v>
      </c>
      <c r="D138" s="263"/>
      <c r="E138" s="255">
        <f>SUM(E139:E145)</f>
        <v>1878</v>
      </c>
      <c r="F138" s="255">
        <f t="shared" ref="F138:I138" si="18">SUM(F139:F145)</f>
        <v>4804.0015999999996</v>
      </c>
      <c r="G138" s="255">
        <f t="shared" si="18"/>
        <v>4835.1728999999996</v>
      </c>
      <c r="H138" s="255">
        <f t="shared" si="18"/>
        <v>4847.1728999999996</v>
      </c>
      <c r="I138" s="255">
        <f t="shared" si="18"/>
        <v>4859.1728999999996</v>
      </c>
      <c r="J138" s="255">
        <f>SUM(J139:J145)</f>
        <v>21223.5203</v>
      </c>
    </row>
    <row r="139" spans="2:10" ht="51">
      <c r="B139" s="10" t="str">
        <f>'PEN Final Ajustado 03-07'!B104</f>
        <v>6.5</v>
      </c>
      <c r="C139" s="14" t="str">
        <f>'PEN Final Ajustado 03-07'!C104</f>
        <v>Aprovisionar as unidades sanitárias com a isoniazida aos pacientes de HIV elegíveis (4.771 pacientes previsto nos 5 anos)</v>
      </c>
      <c r="D139" s="42" t="str">
        <f>'PEN Final Ajustado 03-07'!H104</f>
        <v>Nº de Isoniasida destribuidos</v>
      </c>
      <c r="E139" s="78">
        <f>'PEN Final Ajustado 03-07'!J104</f>
        <v>1878</v>
      </c>
      <c r="F139" s="78">
        <f>'PEN Final Ajustado 03-07'!K104</f>
        <v>943</v>
      </c>
      <c r="G139" s="78">
        <f>'PEN Final Ajustado 03-07'!L104</f>
        <v>951</v>
      </c>
      <c r="H139" s="78">
        <f>'PEN Final Ajustado 03-07'!M104</f>
        <v>963</v>
      </c>
      <c r="I139" s="78">
        <f>'PEN Final Ajustado 03-07'!N104</f>
        <v>975</v>
      </c>
      <c r="J139" s="78">
        <f t="shared" ref="J139:J145" si="19">SUM(E139:I139)</f>
        <v>5710</v>
      </c>
    </row>
    <row r="140" spans="2:10" ht="25.5">
      <c r="B140" s="13" t="str">
        <f>'PEN Final Ajustado 03-07'!B105</f>
        <v>6.6</v>
      </c>
      <c r="C140" s="13" t="str">
        <f>'PEN Final Ajustado 03-07'!C105</f>
        <v>Assegurar a despistagem da TB (teste PPD)</v>
      </c>
      <c r="D140" s="47" t="str">
        <f>'PEN Final Ajustado 03-07'!H105</f>
        <v>numero e percentagem de PVHVI testados</v>
      </c>
      <c r="E140" s="78">
        <f>'PEN Final Ajustado 03-07'!J105</f>
        <v>0</v>
      </c>
      <c r="F140" s="78">
        <f>'PEN Final Ajustado 03-07'!K105</f>
        <v>1262.48</v>
      </c>
      <c r="G140" s="78">
        <f>'PEN Final Ajustado 03-07'!L105</f>
        <v>1262.48</v>
      </c>
      <c r="H140" s="78">
        <f>'PEN Final Ajustado 03-07'!M105</f>
        <v>1262.48</v>
      </c>
      <c r="I140" s="78">
        <f>'PEN Final Ajustado 03-07'!N105</f>
        <v>1262.48</v>
      </c>
      <c r="J140" s="78">
        <f t="shared" si="19"/>
        <v>5049.92</v>
      </c>
    </row>
    <row r="141" spans="2:10" ht="25.5">
      <c r="B141" s="10" t="str">
        <f>'PEN Final Ajustado 03-07'!B108</f>
        <v>6.10</v>
      </c>
      <c r="C141" s="10" t="str">
        <f>'PEN Final Ajustado 03-07'!C108</f>
        <v xml:space="preserve">Determinar a prevalência d de TB nas pessoas que vivem com VIH </v>
      </c>
      <c r="D141" s="42" t="str">
        <f>'PEN Final Ajustado 03-07'!H108</f>
        <v>Prevalência de TB nas pessoas que vivem com HIV</v>
      </c>
      <c r="E141" s="78">
        <f>'PEN Final Ajustado 03-07'!J108</f>
        <v>0</v>
      </c>
      <c r="F141" s="78">
        <f>'PEN Final Ajustado 03-07'!K108</f>
        <v>2598.5216</v>
      </c>
      <c r="G141" s="78">
        <f>'PEN Final Ajustado 03-07'!L108</f>
        <v>2621.6928999999996</v>
      </c>
      <c r="H141" s="78">
        <f>'PEN Final Ajustado 03-07'!M108</f>
        <v>2621.6928999999996</v>
      </c>
      <c r="I141" s="78">
        <f>'PEN Final Ajustado 03-07'!N108</f>
        <v>2621.6928999999996</v>
      </c>
      <c r="J141" s="78">
        <f t="shared" si="19"/>
        <v>10463.6003</v>
      </c>
    </row>
    <row r="142" spans="2:10" ht="25.5">
      <c r="B142" s="14" t="str">
        <f>'PEN Final Ajustado 03-07'!B109</f>
        <v>6.11</v>
      </c>
      <c r="C142" s="14" t="str">
        <f>'PEN Final Ajustado 03-07'!C109</f>
        <v>Determinar VIH nos pacientes com TB através dos postos sentinelas</v>
      </c>
      <c r="D142" s="42" t="str">
        <f>'PEN Final Ajustado 03-07'!H109</f>
        <v>Prevalência de VIH nos pacientes TB</v>
      </c>
      <c r="E142" s="78">
        <f>'PEN Final Ajustado 03-07'!J109</f>
        <v>0</v>
      </c>
      <c r="F142" s="78">
        <f>'PEN Final Ajustado 03-07'!K109</f>
        <v>0</v>
      </c>
      <c r="G142" s="78">
        <f>'PEN Final Ajustado 03-07'!L109</f>
        <v>0</v>
      </c>
      <c r="H142" s="78">
        <f>'PEN Final Ajustado 03-07'!M109</f>
        <v>0</v>
      </c>
      <c r="I142" s="78">
        <f>'PEN Final Ajustado 03-07'!N109</f>
        <v>0</v>
      </c>
      <c r="J142" s="78">
        <f t="shared" si="19"/>
        <v>0</v>
      </c>
    </row>
    <row r="143" spans="2:10">
      <c r="B143" s="10" t="str">
        <f>'PEN Final Ajustado 03-07'!B112</f>
        <v>6.14</v>
      </c>
      <c r="C143" s="14" t="str">
        <f>'PEN Final Ajustado 03-07'!C112</f>
        <v>Adquirir cotrimoxazol</v>
      </c>
      <c r="D143" s="42">
        <f>'PEN Final Ajustado 03-07'!H112</f>
        <v>0</v>
      </c>
      <c r="E143" s="78">
        <f>'PEN Final Ajustado 03-07'!J112</f>
        <v>0</v>
      </c>
      <c r="F143" s="78">
        <f>'PEN Final Ajustado 03-07'!K112</f>
        <v>0</v>
      </c>
      <c r="G143" s="78">
        <f>'PEN Final Ajustado 03-07'!L112</f>
        <v>0</v>
      </c>
      <c r="H143" s="78">
        <f>'PEN Final Ajustado 03-07'!M112</f>
        <v>0</v>
      </c>
      <c r="I143" s="78">
        <f>'PEN Final Ajustado 03-07'!N112</f>
        <v>0</v>
      </c>
      <c r="J143" s="78">
        <f t="shared" si="19"/>
        <v>0</v>
      </c>
    </row>
    <row r="144" spans="2:10">
      <c r="B144" s="10" t="str">
        <f>'PEN Final Ajustado 03-07'!B113</f>
        <v>6.15</v>
      </c>
      <c r="C144" s="14" t="str">
        <f>'PEN Final Ajustado 03-07'!C113</f>
        <v>Adquirir ARV</v>
      </c>
      <c r="D144" s="42">
        <f>'PEN Final Ajustado 03-07'!H113</f>
        <v>0</v>
      </c>
      <c r="E144" s="78">
        <f>'PEN Final Ajustado 03-07'!J113</f>
        <v>0</v>
      </c>
      <c r="F144" s="78">
        <f>'PEN Final Ajustado 03-07'!K113</f>
        <v>0</v>
      </c>
      <c r="G144" s="78">
        <f>'PEN Final Ajustado 03-07'!L113</f>
        <v>0</v>
      </c>
      <c r="H144" s="78">
        <f>'PEN Final Ajustado 03-07'!M113</f>
        <v>0</v>
      </c>
      <c r="I144" s="78">
        <f>'PEN Final Ajustado 03-07'!N113</f>
        <v>0</v>
      </c>
      <c r="J144" s="78">
        <f t="shared" si="19"/>
        <v>0</v>
      </c>
    </row>
    <row r="145" spans="2:10">
      <c r="B145" s="10" t="str">
        <f>'PEN Final Ajustado 03-07'!B114</f>
        <v>6.16</v>
      </c>
      <c r="C145" s="14" t="str">
        <f>'PEN Final Ajustado 03-07'!C114</f>
        <v>Adquirir teste de VIH</v>
      </c>
      <c r="D145" s="42">
        <f>'PEN Final Ajustado 03-07'!H114</f>
        <v>0</v>
      </c>
      <c r="E145" s="78">
        <f>'PEN Final Ajustado 03-07'!J114</f>
        <v>0</v>
      </c>
      <c r="F145" s="78">
        <f>'PEN Final Ajustado 03-07'!K114</f>
        <v>0</v>
      </c>
      <c r="G145" s="78">
        <f>'PEN Final Ajustado 03-07'!L114</f>
        <v>0</v>
      </c>
      <c r="H145" s="78">
        <f>'PEN Final Ajustado 03-07'!M114</f>
        <v>0</v>
      </c>
      <c r="I145" s="78">
        <f>'PEN Final Ajustado 03-07'!N114</f>
        <v>0</v>
      </c>
      <c r="J145" s="78">
        <f t="shared" si="19"/>
        <v>0</v>
      </c>
    </row>
    <row r="148" spans="2:10" ht="25.5">
      <c r="C148" s="257" t="s">
        <v>914</v>
      </c>
      <c r="D148" s="262" t="s">
        <v>267</v>
      </c>
      <c r="E148" s="257" t="s">
        <v>272</v>
      </c>
      <c r="F148" s="257" t="s">
        <v>271</v>
      </c>
      <c r="G148" s="257" t="s">
        <v>270</v>
      </c>
      <c r="H148" s="257" t="s">
        <v>269</v>
      </c>
      <c r="I148" s="258" t="s">
        <v>268</v>
      </c>
      <c r="J148" s="257" t="s">
        <v>414</v>
      </c>
    </row>
    <row r="149" spans="2:10">
      <c r="B149" s="254" t="s">
        <v>276</v>
      </c>
      <c r="C149" s="254" t="s">
        <v>406</v>
      </c>
      <c r="D149" s="263"/>
      <c r="E149" s="255">
        <f>SUM(E150:E159)</f>
        <v>12288.327500000001</v>
      </c>
      <c r="F149" s="255">
        <f t="shared" ref="F149:I149" si="20">SUM(F150:F159)</f>
        <v>22191.547500000001</v>
      </c>
      <c r="G149" s="255">
        <f t="shared" si="20"/>
        <v>2366.67</v>
      </c>
      <c r="H149" s="255">
        <f t="shared" si="20"/>
        <v>12360.89</v>
      </c>
      <c r="I149" s="255">
        <f t="shared" si="20"/>
        <v>2366.67</v>
      </c>
      <c r="J149" s="255">
        <f>SUM(J150:J159)</f>
        <v>51574.105000000003</v>
      </c>
    </row>
    <row r="150" spans="2:10" ht="38.25">
      <c r="B150" s="10" t="str">
        <f>'PEN Final Ajustado 03-07'!B100</f>
        <v>6.1</v>
      </c>
      <c r="C150" s="10" t="str">
        <f>'PEN Final Ajustado 03-07'!C100</f>
        <v xml:space="preserve">Implementar o órgão de coordenação central e distrital das actividades de colaboração TB/HIV </v>
      </c>
      <c r="D150" s="42" t="str">
        <f>'PEN Final Ajustado 03-07'!H100</f>
        <v>Realização de uma reunião anual</v>
      </c>
      <c r="E150" s="78">
        <f>'PEN Final Ajustado 03-07'!J100</f>
        <v>0</v>
      </c>
      <c r="F150" s="78">
        <f>'PEN Final Ajustado 03-07'!K100</f>
        <v>0</v>
      </c>
      <c r="G150" s="78">
        <f>'PEN Final Ajustado 03-07'!L100</f>
        <v>0</v>
      </c>
      <c r="H150" s="78">
        <f>'PEN Final Ajustado 03-07'!M100</f>
        <v>0</v>
      </c>
      <c r="I150" s="78">
        <f>'PEN Final Ajustado 03-07'!N100</f>
        <v>0</v>
      </c>
      <c r="J150" s="78">
        <f t="shared" ref="J150:J159" si="21">SUM(E150:I150)</f>
        <v>0</v>
      </c>
    </row>
    <row r="151" spans="2:10" ht="25.5">
      <c r="B151" s="10" t="str">
        <f>'PEN Final Ajustado 03-07'!B101</f>
        <v>6.2</v>
      </c>
      <c r="C151" s="10" t="str">
        <f>'PEN Final Ajustado 03-07'!C101</f>
        <v>Elaborar um Guia Nacional de Co-infeccção</v>
      </c>
      <c r="D151" s="43" t="str">
        <f>'PEN Final Ajustado 03-07'!H101</f>
        <v xml:space="preserve"> Guia nacional de coinfecção disponível</v>
      </c>
      <c r="E151" s="78">
        <f>'PEN Final Ajustado 03-07'!J101</f>
        <v>9921.6575000000012</v>
      </c>
      <c r="F151" s="78">
        <f>'PEN Final Ajustado 03-07'!K101</f>
        <v>0</v>
      </c>
      <c r="G151" s="78">
        <f>'PEN Final Ajustado 03-07'!L101</f>
        <v>0</v>
      </c>
      <c r="H151" s="78">
        <f>'PEN Final Ajustado 03-07'!M101</f>
        <v>0</v>
      </c>
      <c r="I151" s="78">
        <f>'PEN Final Ajustado 03-07'!N101</f>
        <v>0</v>
      </c>
      <c r="J151" s="78">
        <f t="shared" si="21"/>
        <v>9921.6575000000012</v>
      </c>
    </row>
    <row r="152" spans="2:10" ht="51">
      <c r="B152" s="10" t="str">
        <f>'PEN Final Ajustado 03-07'!B102</f>
        <v>6.3</v>
      </c>
      <c r="C152" s="10" t="str">
        <f>'PEN Final Ajustado 03-07'!C102</f>
        <v>Colaborar na Integração dos instrumentos de registos e de reportagem de PNLS  para seguir as actividades  de 3 Is.</v>
      </c>
      <c r="D152" s="42" t="str">
        <f>'PEN Final Ajustado 03-07'!H102</f>
        <v>Iinstrumentos de registos e de reportagem das actividades adaptados e disponíveis</v>
      </c>
      <c r="E152" s="78">
        <f>'PEN Final Ajustado 03-07'!J102</f>
        <v>0</v>
      </c>
      <c r="F152" s="78">
        <f>'PEN Final Ajustado 03-07'!K102</f>
        <v>0</v>
      </c>
      <c r="G152" s="78">
        <f>'PEN Final Ajustado 03-07'!L102</f>
        <v>0</v>
      </c>
      <c r="H152" s="78">
        <f>'PEN Final Ajustado 03-07'!M102</f>
        <v>0</v>
      </c>
      <c r="I152" s="78">
        <f>'PEN Final Ajustado 03-07'!N102</f>
        <v>0</v>
      </c>
      <c r="J152" s="78">
        <f t="shared" si="21"/>
        <v>0</v>
      </c>
    </row>
    <row r="153" spans="2:10" ht="38.25">
      <c r="B153" s="10" t="str">
        <f>'PEN Final Ajustado 03-07'!B103</f>
        <v>6.4</v>
      </c>
      <c r="C153" s="10" t="str">
        <f>'PEN Final Ajustado 03-07'!C103</f>
        <v>Organizar reuniões de planificação e seguimento das actividades trimestralmente</v>
      </c>
      <c r="D153" s="42" t="str">
        <f>'PEN Final Ajustado 03-07'!H103</f>
        <v>Nº de reuniões realizadas</v>
      </c>
      <c r="E153" s="78">
        <f>'PEN Final Ajustado 03-07'!J103</f>
        <v>366.67</v>
      </c>
      <c r="F153" s="78">
        <f>'PEN Final Ajustado 03-07'!K103</f>
        <v>366.67</v>
      </c>
      <c r="G153" s="78">
        <f>'PEN Final Ajustado 03-07'!L103</f>
        <v>366.67</v>
      </c>
      <c r="H153" s="78">
        <f>'PEN Final Ajustado 03-07'!M103</f>
        <v>366.67</v>
      </c>
      <c r="I153" s="78">
        <f>'PEN Final Ajustado 03-07'!N103</f>
        <v>366.67</v>
      </c>
      <c r="J153" s="78">
        <f t="shared" si="21"/>
        <v>1833.3500000000001</v>
      </c>
    </row>
    <row r="154" spans="2:10" ht="25.5">
      <c r="B154" s="10" t="str">
        <f>'PEN Final Ajustado 03-07'!B106</f>
        <v>6.8</v>
      </c>
      <c r="C154" s="10" t="str">
        <f>'PEN Final Ajustado 03-07'!C106</f>
        <v>Reforçar o aconselhamento da prevenção do VIH nos doentes TB</v>
      </c>
      <c r="D154" s="42">
        <f>'PEN Final Ajustado 03-07'!H106</f>
        <v>0</v>
      </c>
      <c r="E154" s="78">
        <f>'PEN Final Ajustado 03-07'!J106</f>
        <v>0</v>
      </c>
      <c r="F154" s="78">
        <f>'PEN Final Ajustado 03-07'!K106</f>
        <v>0</v>
      </c>
      <c r="G154" s="78">
        <f>'PEN Final Ajustado 03-07'!L106</f>
        <v>0</v>
      </c>
      <c r="H154" s="78">
        <f>'PEN Final Ajustado 03-07'!M106</f>
        <v>0</v>
      </c>
      <c r="I154" s="78">
        <f>'PEN Final Ajustado 03-07'!N106</f>
        <v>0</v>
      </c>
      <c r="J154" s="78">
        <f t="shared" si="21"/>
        <v>0</v>
      </c>
    </row>
    <row r="155" spans="2:10" ht="38.25">
      <c r="B155" s="10" t="str">
        <f>'PEN Final Ajustado 03-07'!B107</f>
        <v>6.9</v>
      </c>
      <c r="C155" s="10" t="str">
        <f>'PEN Final Ajustado 03-07'!C107</f>
        <v>Reforçar as capacidades dos prestadores de cuidados de saúde em TB/HIV (Médicos, 100 enfermeiros,</v>
      </c>
      <c r="D155" s="42" t="str">
        <f>'PEN Final Ajustado 03-07'!H107</f>
        <v>Nº de médicos formados em TB/HIV</v>
      </c>
      <c r="E155" s="78">
        <f>'PEN Final Ajustado 03-07'!J107</f>
        <v>0</v>
      </c>
      <c r="F155" s="78">
        <f>'PEN Final Ajustado 03-07'!K107</f>
        <v>0</v>
      </c>
      <c r="G155" s="78">
        <f>'PEN Final Ajustado 03-07'!L107</f>
        <v>0</v>
      </c>
      <c r="H155" s="78">
        <f>'PEN Final Ajustado 03-07'!M107</f>
        <v>0</v>
      </c>
      <c r="I155" s="78">
        <f>'PEN Final Ajustado 03-07'!N107</f>
        <v>0</v>
      </c>
      <c r="J155" s="78">
        <f t="shared" si="21"/>
        <v>0</v>
      </c>
    </row>
    <row r="156" spans="2:10" ht="25.5">
      <c r="B156" s="10" t="str">
        <f>'PEN Final Ajustado 03-07'!B110</f>
        <v>6.12</v>
      </c>
      <c r="C156" s="14" t="str">
        <f>'PEN Final Ajustado 03-07'!C110</f>
        <v>Formar 15 formadores em TB/HIV, 1 secção de 5 dias no Ano 2</v>
      </c>
      <c r="D156" s="43">
        <f>'PEN Final Ajustado 03-07'!H110</f>
        <v>0</v>
      </c>
      <c r="E156" s="78">
        <f>'PEN Final Ajustado 03-07'!J110</f>
        <v>0</v>
      </c>
      <c r="F156" s="78">
        <f>'PEN Final Ajustado 03-07'!K110</f>
        <v>9994.2199999999993</v>
      </c>
      <c r="G156" s="78">
        <f>'PEN Final Ajustado 03-07'!L110</f>
        <v>0</v>
      </c>
      <c r="H156" s="78">
        <f>'PEN Final Ajustado 03-07'!M110</f>
        <v>0</v>
      </c>
      <c r="I156" s="78">
        <f>'PEN Final Ajustado 03-07'!N110</f>
        <v>0</v>
      </c>
      <c r="J156" s="78">
        <f t="shared" si="21"/>
        <v>9994.2199999999993</v>
      </c>
    </row>
    <row r="157" spans="2:10" ht="25.5">
      <c r="B157" s="10" t="str">
        <f>'PEN Final Ajustado 03-07'!B111</f>
        <v>6.13</v>
      </c>
      <c r="C157" s="14" t="str">
        <f>'PEN Final Ajustado 03-07'!C111</f>
        <v>Reciclar 15 formadores em TB/HIV, 1 secção de 5 dias no Ano 4</v>
      </c>
      <c r="D157" s="43">
        <f>'PEN Final Ajustado 03-07'!H111</f>
        <v>0</v>
      </c>
      <c r="E157" s="78">
        <f>'PEN Final Ajustado 03-07'!J111</f>
        <v>0</v>
      </c>
      <c r="F157" s="78">
        <f>'PEN Final Ajustado 03-07'!K111</f>
        <v>0</v>
      </c>
      <c r="G157" s="78">
        <f>'PEN Final Ajustado 03-07'!L111</f>
        <v>0</v>
      </c>
      <c r="H157" s="78">
        <f>'PEN Final Ajustado 03-07'!M111</f>
        <v>9994.2199999999993</v>
      </c>
      <c r="I157" s="78">
        <f>'PEN Final Ajustado 03-07'!N111</f>
        <v>0</v>
      </c>
      <c r="J157" s="78">
        <f t="shared" si="21"/>
        <v>9994.2199999999993</v>
      </c>
    </row>
    <row r="158" spans="2:10" ht="51">
      <c r="B158" s="10" t="str">
        <f>'PEN Final Ajustado 03-07'!B115</f>
        <v>6.17</v>
      </c>
      <c r="C158" s="14" t="str">
        <f>'PEN Final Ajustado 03-07'!C115</f>
        <v>Colaborar na Integração dos instrumentos de registos e de reportagem para seguir as actividades de 3 Is.</v>
      </c>
      <c r="D158" s="42">
        <f>'PEN Final Ajustado 03-07'!H115</f>
        <v>0</v>
      </c>
      <c r="E158" s="78">
        <f>'PEN Final Ajustado 03-07'!J115</f>
        <v>2000</v>
      </c>
      <c r="F158" s="78">
        <f>'PEN Final Ajustado 03-07'!K115</f>
        <v>2000</v>
      </c>
      <c r="G158" s="78">
        <f>'PEN Final Ajustado 03-07'!L115</f>
        <v>2000</v>
      </c>
      <c r="H158" s="78">
        <f>'PEN Final Ajustado 03-07'!M115</f>
        <v>2000</v>
      </c>
      <c r="I158" s="78">
        <f>'PEN Final Ajustado 03-07'!N115</f>
        <v>2000</v>
      </c>
      <c r="J158" s="78">
        <f t="shared" si="21"/>
        <v>10000</v>
      </c>
    </row>
    <row r="159" spans="2:10" ht="38.25">
      <c r="B159" s="10" t="str">
        <f>'PEN Final Ajustado 03-07'!B116</f>
        <v>6.18</v>
      </c>
      <c r="C159" s="14" t="str">
        <f>'PEN Final Ajustado 03-07'!C116</f>
        <v>Atelier para Elaboração da politica de controlo de infecção (25 participantes durante 5 dias)</v>
      </c>
      <c r="D159" s="43">
        <f>'PEN Final Ajustado 03-07'!H116</f>
        <v>0</v>
      </c>
      <c r="E159" s="78">
        <f>'PEN Final Ajustado 03-07'!J116</f>
        <v>0</v>
      </c>
      <c r="F159" s="78">
        <f>'PEN Final Ajustado 03-07'!K116</f>
        <v>9830.6575000000012</v>
      </c>
      <c r="G159" s="78">
        <f>'PEN Final Ajustado 03-07'!L116</f>
        <v>0</v>
      </c>
      <c r="H159" s="78">
        <f>'PEN Final Ajustado 03-07'!M116</f>
        <v>0</v>
      </c>
      <c r="I159" s="78">
        <f>'PEN Final Ajustado 03-07'!N116</f>
        <v>0</v>
      </c>
      <c r="J159" s="78">
        <f t="shared" si="21"/>
        <v>9830.6575000000012</v>
      </c>
    </row>
    <row r="163" spans="2:10" ht="25.5">
      <c r="C163" s="257" t="s">
        <v>914</v>
      </c>
      <c r="D163" s="262" t="s">
        <v>267</v>
      </c>
      <c r="E163" s="257" t="s">
        <v>272</v>
      </c>
      <c r="F163" s="257" t="s">
        <v>271</v>
      </c>
      <c r="G163" s="257" t="s">
        <v>270</v>
      </c>
      <c r="H163" s="257" t="s">
        <v>269</v>
      </c>
      <c r="I163" s="258" t="s">
        <v>268</v>
      </c>
      <c r="J163" s="257" t="s">
        <v>414</v>
      </c>
    </row>
    <row r="164" spans="2:10">
      <c r="B164" s="254" t="s">
        <v>276</v>
      </c>
      <c r="C164" s="254" t="s">
        <v>407</v>
      </c>
      <c r="D164" s="263"/>
      <c r="E164" s="255">
        <f t="shared" ref="E164:I164" si="22">SUM(E165:E172)</f>
        <v>1753.33</v>
      </c>
      <c r="F164" s="255">
        <f t="shared" si="22"/>
        <v>569660.28555555549</v>
      </c>
      <c r="G164" s="255">
        <f t="shared" si="22"/>
        <v>651439.62999999989</v>
      </c>
      <c r="H164" s="255">
        <f t="shared" si="22"/>
        <v>38050.33</v>
      </c>
      <c r="I164" s="255">
        <f t="shared" si="22"/>
        <v>44375.33</v>
      </c>
      <c r="J164" s="255">
        <f>SUM(J165:J172)</f>
        <v>1305278.9055555554</v>
      </c>
    </row>
    <row r="165" spans="2:10" ht="25.5">
      <c r="B165" s="11" t="str">
        <f>'PEN Final Ajustado 03-07'!B120</f>
        <v>7.4.1</v>
      </c>
      <c r="C165" s="11" t="str">
        <f>'PEN Final Ajustado 03-07'!C120</f>
        <v>Formar 2 técnicos de laboratório em cultura, no exteriordo país.</v>
      </c>
      <c r="D165" s="43" t="str">
        <f>'PEN Final Ajustado 03-07'!H120</f>
        <v>Numero técnicos formados</v>
      </c>
      <c r="E165" s="78">
        <f>'PEN Final Ajustado 03-07'!J120</f>
        <v>0</v>
      </c>
      <c r="F165" s="78">
        <f>'PEN Final Ajustado 03-07'!K120</f>
        <v>0</v>
      </c>
      <c r="G165" s="78">
        <f>'PEN Final Ajustado 03-07'!L120</f>
        <v>38152</v>
      </c>
      <c r="H165" s="78">
        <f>'PEN Final Ajustado 03-07'!M120</f>
        <v>0</v>
      </c>
      <c r="I165" s="78">
        <f>'PEN Final Ajustado 03-07'!N120</f>
        <v>0</v>
      </c>
      <c r="J165" s="78">
        <f t="shared" ref="J165:J172" si="23">SUM(E165:I165)</f>
        <v>38152</v>
      </c>
    </row>
    <row r="166" spans="2:10" ht="25.5">
      <c r="B166" s="11" t="str">
        <f>'PEN Final Ajustado 03-07'!B121</f>
        <v>7.5</v>
      </c>
      <c r="C166" s="11" t="str">
        <f>'PEN Final Ajustado 03-07'!C121</f>
        <v xml:space="preserve"> Implementar o Laboratório de cultura e o teste de sensibilidade</v>
      </c>
      <c r="D166" s="43" t="str">
        <f>'PEN Final Ajustado 03-07'!H121</f>
        <v>Numero de exames realizados localmente</v>
      </c>
      <c r="E166" s="78">
        <f>'PEN Final Ajustado 03-07'!J121</f>
        <v>0</v>
      </c>
      <c r="F166" s="78">
        <f>'PEN Final Ajustado 03-07'!K121</f>
        <v>563554.69999999995</v>
      </c>
      <c r="G166" s="78">
        <f>'PEN Final Ajustado 03-07'!L121</f>
        <v>563554.69999999995</v>
      </c>
      <c r="H166" s="78">
        <f>'PEN Final Ajustado 03-07'!M121</f>
        <v>0</v>
      </c>
      <c r="I166" s="78">
        <f>'PEN Final Ajustado 03-07'!N121</f>
        <v>0</v>
      </c>
      <c r="J166" s="78">
        <f t="shared" si="23"/>
        <v>1127109.3999999999</v>
      </c>
    </row>
    <row r="167" spans="2:10" ht="25.5">
      <c r="B167" s="11" t="str">
        <f>'PEN Final Ajustado 03-07'!B122</f>
        <v>7.6</v>
      </c>
      <c r="C167" s="11" t="str">
        <f>'PEN Final Ajustado 03-07'!C122</f>
        <v>Aprovisionar o país de uma de teste rápido (Gene-Xpert e cartuchos)</v>
      </c>
      <c r="D167" s="266" t="str">
        <f>'PEN Final Ajustado 03-07'!H122</f>
        <v>Numero de dias de ruptura</v>
      </c>
      <c r="E167" s="78">
        <f>'PEN Final Ajustado 03-07'!J122</f>
        <v>0</v>
      </c>
      <c r="F167" s="78">
        <f>'PEN Final Ajustado 03-07'!K122</f>
        <v>0</v>
      </c>
      <c r="G167" s="78">
        <f>'PEN Final Ajustado 03-07'!L122</f>
        <v>35499.599999999999</v>
      </c>
      <c r="H167" s="78">
        <f>'PEN Final Ajustado 03-07'!M122</f>
        <v>21897</v>
      </c>
      <c r="I167" s="78">
        <f>'PEN Final Ajustado 03-07'!N122</f>
        <v>22942</v>
      </c>
      <c r="J167" s="78">
        <f t="shared" si="23"/>
        <v>80338.600000000006</v>
      </c>
    </row>
    <row r="168" spans="2:10" ht="25.5">
      <c r="B168" s="11" t="str">
        <f>'PEN Final Ajustado 03-07'!B123</f>
        <v>7.7</v>
      </c>
      <c r="C168" s="11" t="str">
        <f>'PEN Final Ajustado 03-07'!C123</f>
        <v xml:space="preserve">Aprovisionar o laboratório de cultura em consumíveis e reagente </v>
      </c>
      <c r="D168" s="266" t="str">
        <f>'PEN Final Ajustado 03-07'!H123</f>
        <v>Numero de dias de ruptura</v>
      </c>
      <c r="E168" s="78">
        <f>'PEN Final Ajustado 03-07'!J123</f>
        <v>0</v>
      </c>
      <c r="F168" s="78">
        <f>'PEN Final Ajustado 03-07'!K123</f>
        <v>0</v>
      </c>
      <c r="G168" s="78">
        <f>'PEN Final Ajustado 03-07'!L123</f>
        <v>12480</v>
      </c>
      <c r="H168" s="78">
        <f>'PEN Final Ajustado 03-07'!M123</f>
        <v>14400</v>
      </c>
      <c r="I168" s="78">
        <f>'PEN Final Ajustado 03-07'!N123</f>
        <v>19680</v>
      </c>
      <c r="J168" s="78">
        <f t="shared" si="23"/>
        <v>46560</v>
      </c>
    </row>
    <row r="169" spans="2:10" ht="25.5">
      <c r="B169" s="11" t="str">
        <f>'PEN Final Ajustado 03-07'!B124</f>
        <v>7.8</v>
      </c>
      <c r="C169" s="11" t="str">
        <f>'PEN Final Ajustado 03-07'!C124</f>
        <v>Reforçar o sistema de transporte de amostras</v>
      </c>
      <c r="D169" s="43" t="str">
        <f>'PEN Final Ajustado 03-07'!H124</f>
        <v>Numero de amostras referidas das US</v>
      </c>
      <c r="E169" s="78">
        <f>'PEN Final Ajustado 03-07'!J124</f>
        <v>1003.33</v>
      </c>
      <c r="F169" s="78">
        <f>'PEN Final Ajustado 03-07'!K124</f>
        <v>1003.33</v>
      </c>
      <c r="G169" s="78">
        <f>'PEN Final Ajustado 03-07'!L124</f>
        <v>1003.33</v>
      </c>
      <c r="H169" s="78">
        <f>'PEN Final Ajustado 03-07'!M124</f>
        <v>1003.33</v>
      </c>
      <c r="I169" s="78">
        <f>'PEN Final Ajustado 03-07'!N124</f>
        <v>1003.33</v>
      </c>
      <c r="J169" s="78">
        <f t="shared" si="23"/>
        <v>5016.6500000000005</v>
      </c>
    </row>
    <row r="170" spans="2:10" ht="38.25">
      <c r="B170" s="11" t="str">
        <f>'PEN Final Ajustado 03-07'!B131</f>
        <v>7.15</v>
      </c>
      <c r="C170" s="11" t="str">
        <f>'PEN Final Ajustado 03-07'!C131</f>
        <v>Assegurar o envio de amostras de pacientes suspeitos para CPC, durante 5 anos</v>
      </c>
      <c r="D170" s="42">
        <f>'PEN Final Ajustado 03-07'!H131</f>
        <v>0</v>
      </c>
      <c r="E170" s="78">
        <f>'PEN Final Ajustado 03-07'!J131</f>
        <v>0</v>
      </c>
      <c r="F170" s="78">
        <f>'PEN Final Ajustado 03-07'!K131</f>
        <v>0</v>
      </c>
      <c r="G170" s="78">
        <f>'PEN Final Ajustado 03-07'!L131</f>
        <v>0</v>
      </c>
      <c r="H170" s="78">
        <f>'PEN Final Ajustado 03-07'!M131</f>
        <v>0</v>
      </c>
      <c r="I170" s="78">
        <f>'PEN Final Ajustado 03-07'!N131</f>
        <v>0</v>
      </c>
      <c r="J170" s="78">
        <f t="shared" si="23"/>
        <v>0</v>
      </c>
    </row>
    <row r="171" spans="2:10" ht="25.5">
      <c r="B171" s="11" t="str">
        <f>'PEN Final Ajustado 03-07'!B137</f>
        <v>7.21</v>
      </c>
      <c r="C171" s="52" t="str">
        <f>'PEN Final Ajustado 03-07'!C137</f>
        <v>Formar 20 pessoal de terreno para a recolha e transporte de amostras</v>
      </c>
      <c r="D171" s="69">
        <f>'PEN Final Ajustado 03-07'!H137</f>
        <v>0</v>
      </c>
      <c r="E171" s="78">
        <f>'PEN Final Ajustado 03-07'!J137</f>
        <v>0</v>
      </c>
      <c r="F171" s="78">
        <f>'PEN Final Ajustado 03-07'!K137</f>
        <v>4352.2555555555555</v>
      </c>
      <c r="G171" s="78">
        <f>'PEN Final Ajustado 03-07'!L137</f>
        <v>0</v>
      </c>
      <c r="H171" s="78">
        <f>'PEN Final Ajustado 03-07'!M137</f>
        <v>0</v>
      </c>
      <c r="I171" s="78">
        <f>'PEN Final Ajustado 03-07'!N137</f>
        <v>0</v>
      </c>
      <c r="J171" s="78">
        <f t="shared" si="23"/>
        <v>4352.2555555555555</v>
      </c>
    </row>
    <row r="172" spans="2:10" ht="38.25">
      <c r="B172" s="11" t="str">
        <f>'PEN Final Ajustado 03-07'!B138</f>
        <v>7.22</v>
      </c>
      <c r="C172" s="52" t="str">
        <f>'PEN Final Ajustado 03-07'!C138</f>
        <v>Implementar o sistema de rastreamento das amostras do desde a recolha até ao tratamento</v>
      </c>
      <c r="D172" s="69">
        <f>'PEN Final Ajustado 03-07'!H138</f>
        <v>0</v>
      </c>
      <c r="E172" s="78">
        <f>'PEN Final Ajustado 03-07'!J138</f>
        <v>750</v>
      </c>
      <c r="F172" s="78">
        <f>'PEN Final Ajustado 03-07'!K138</f>
        <v>750</v>
      </c>
      <c r="G172" s="78">
        <f>'PEN Final Ajustado 03-07'!L138</f>
        <v>750</v>
      </c>
      <c r="H172" s="78">
        <f>'PEN Final Ajustado 03-07'!M138</f>
        <v>750</v>
      </c>
      <c r="I172" s="78">
        <f>'PEN Final Ajustado 03-07'!N138</f>
        <v>750</v>
      </c>
      <c r="J172" s="78">
        <f t="shared" si="23"/>
        <v>3750</v>
      </c>
    </row>
    <row r="175" spans="2:10" ht="25.5">
      <c r="C175" s="257" t="s">
        <v>914</v>
      </c>
      <c r="D175" s="262" t="s">
        <v>267</v>
      </c>
      <c r="E175" s="257" t="s">
        <v>272</v>
      </c>
      <c r="F175" s="257" t="s">
        <v>271</v>
      </c>
      <c r="G175" s="257" t="s">
        <v>270</v>
      </c>
      <c r="H175" s="257" t="s">
        <v>269</v>
      </c>
      <c r="I175" s="258" t="s">
        <v>268</v>
      </c>
      <c r="J175" s="257" t="s">
        <v>414</v>
      </c>
    </row>
    <row r="176" spans="2:10">
      <c r="B176" s="254" t="s">
        <v>276</v>
      </c>
      <c r="C176" s="254" t="s">
        <v>402</v>
      </c>
      <c r="D176" s="263"/>
      <c r="E176" s="255">
        <f t="shared" ref="E176:I176" si="24">SUM(E177:E187)</f>
        <v>44565.661111111105</v>
      </c>
      <c r="F176" s="255">
        <f t="shared" si="24"/>
        <v>42823.221111111103</v>
      </c>
      <c r="G176" s="255">
        <f t="shared" si="24"/>
        <v>86683.327777777769</v>
      </c>
      <c r="H176" s="255">
        <f t="shared" si="24"/>
        <v>46009.998888888884</v>
      </c>
      <c r="I176" s="255">
        <f t="shared" si="24"/>
        <v>61740.665555555548</v>
      </c>
      <c r="J176" s="255">
        <f>SUM(J177:J187)</f>
        <v>281822.87444444443</v>
      </c>
    </row>
    <row r="177" spans="2:10" ht="38.25">
      <c r="B177" s="11" t="str">
        <f>'PEN Final Ajustado 03-07'!B126</f>
        <v>7.10</v>
      </c>
      <c r="C177" s="11" t="str">
        <f>'PEN Final Ajustado 03-07'!C126</f>
        <v>Assegurar o tratamento de 2ªlinha a todos os casos de TBMR conforme as directrizes nacional (53 pacotes)</v>
      </c>
      <c r="D177" s="42" t="str">
        <f>'PEN Final Ajustado 03-07'!H126</f>
        <v>Numero de pacientes submetidos ao tratamento de 2ªlinha</v>
      </c>
      <c r="E177" s="78">
        <f>'PEN Final Ajustado 03-07'!J126</f>
        <v>7269</v>
      </c>
      <c r="F177" s="78">
        <f>'PEN Final Ajustado 03-07'!K126</f>
        <v>16515</v>
      </c>
      <c r="G177" s="78">
        <f>'PEN Final Ajustado 03-07'!L126</f>
        <v>19345</v>
      </c>
      <c r="H177" s="78">
        <f>'PEN Final Ajustado 03-07'!M126</f>
        <v>19674</v>
      </c>
      <c r="I177" s="78">
        <f>'PEN Final Ajustado 03-07'!N126</f>
        <v>35363</v>
      </c>
      <c r="J177" s="78">
        <f t="shared" ref="J177:J187" si="25">SUM(E177:I177)</f>
        <v>98166</v>
      </c>
    </row>
    <row r="178" spans="2:10" ht="25.5">
      <c r="B178" s="11" t="str">
        <f>'PEN Final Ajustado 03-07'!B127</f>
        <v>7.11</v>
      </c>
      <c r="C178" s="11" t="str">
        <f>'PEN Final Ajustado 03-07'!C127</f>
        <v>Assegurar o manejo dos efeitos secundários</v>
      </c>
      <c r="D178" s="42">
        <f>'PEN Final Ajustado 03-07'!H127</f>
        <v>0</v>
      </c>
      <c r="E178" s="78">
        <f>'PEN Final Ajustado 03-07'!J127</f>
        <v>238.1</v>
      </c>
      <c r="F178" s="78">
        <f>'PEN Final Ajustado 03-07'!K127</f>
        <v>238.1</v>
      </c>
      <c r="G178" s="78">
        <f>'PEN Final Ajustado 03-07'!L127</f>
        <v>238.1</v>
      </c>
      <c r="H178" s="78">
        <f>'PEN Final Ajustado 03-07'!M127</f>
        <v>238.1</v>
      </c>
      <c r="I178" s="78">
        <f>'PEN Final Ajustado 03-07'!N127</f>
        <v>238.1</v>
      </c>
      <c r="J178" s="78">
        <f t="shared" si="25"/>
        <v>1190.5</v>
      </c>
    </row>
    <row r="179" spans="2:10" ht="25.5">
      <c r="B179" s="11" t="str">
        <f>'PEN Final Ajustado 03-07'!B128</f>
        <v>7.12</v>
      </c>
      <c r="C179" s="11" t="str">
        <f>'PEN Final Ajustado 03-07'!C128</f>
        <v>Assegurar Apoio nutricional e psico social</v>
      </c>
      <c r="D179" s="42" t="str">
        <f>'PEN Final Ajustado 03-07'!H128</f>
        <v>Percentagem de pacientes que recebem cesta básica</v>
      </c>
      <c r="E179" s="78">
        <f>'PEN Final Ajustado 03-07'!J128</f>
        <v>9523.81</v>
      </c>
      <c r="F179" s="78">
        <f>'PEN Final Ajustado 03-07'!K128</f>
        <v>9523.81</v>
      </c>
      <c r="G179" s="78">
        <f>'PEN Final Ajustado 03-07'!L128</f>
        <v>9523.81</v>
      </c>
      <c r="H179" s="78">
        <f>'PEN Final Ajustado 03-07'!M128</f>
        <v>9523.81</v>
      </c>
      <c r="I179" s="78">
        <f>'PEN Final Ajustado 03-07'!N128</f>
        <v>9523.81</v>
      </c>
      <c r="J179" s="78">
        <f t="shared" si="25"/>
        <v>47619.049999999996</v>
      </c>
    </row>
    <row r="180" spans="2:10" ht="25.5">
      <c r="B180" s="11" t="str">
        <f>'PEN Final Ajustado 03-07'!B133</f>
        <v>7.17</v>
      </c>
      <c r="C180" s="11" t="str">
        <f>'PEN Final Ajustado 03-07'!C133</f>
        <v xml:space="preserve">Reabilitação e adapatação das estruturas existentes ao  tratamento de TB MR </v>
      </c>
      <c r="D180" s="42">
        <f>'PEN Final Ajustado 03-07'!H133</f>
        <v>0</v>
      </c>
      <c r="E180" s="78">
        <f>'PEN Final Ajustado 03-07'!J133</f>
        <v>0</v>
      </c>
      <c r="F180" s="78">
        <f>'PEN Final Ajustado 03-07'!K133</f>
        <v>0</v>
      </c>
      <c r="G180" s="78">
        <f>'PEN Final Ajustado 03-07'!L133</f>
        <v>30000</v>
      </c>
      <c r="H180" s="78">
        <f>'PEN Final Ajustado 03-07'!M133</f>
        <v>0</v>
      </c>
      <c r="I180" s="78">
        <f>'PEN Final Ajustado 03-07'!N133</f>
        <v>0</v>
      </c>
      <c r="J180" s="78">
        <f t="shared" si="25"/>
        <v>30000</v>
      </c>
    </row>
    <row r="181" spans="2:10" ht="63.75">
      <c r="B181" s="11" t="str">
        <f>'PEN Final Ajustado 03-07'!B134</f>
        <v>7.18</v>
      </c>
      <c r="C181" s="11" t="str">
        <f>'PEN Final Ajustado 03-07'!C134</f>
        <v>Assegurar a formação de 54 agentes de saúde n manejo de casos da Tuberculose multiresistente (18 médicos, 18 enfermeiros, 9 técnicos de farmácia e 9 de laboratório)</v>
      </c>
      <c r="D181" s="43">
        <f>'PEN Final Ajustado 03-07'!H134</f>
        <v>0</v>
      </c>
      <c r="E181" s="78">
        <f>'PEN Final Ajustado 03-07'!J134</f>
        <v>11013.44</v>
      </c>
      <c r="F181" s="78">
        <f>'PEN Final Ajustado 03-07'!K134</f>
        <v>0</v>
      </c>
      <c r="G181" s="78">
        <f>'PEN Final Ajustado 03-07'!L134</f>
        <v>11013.44</v>
      </c>
      <c r="H181" s="78">
        <f>'PEN Final Ajustado 03-07'!M134</f>
        <v>0</v>
      </c>
      <c r="I181" s="78">
        <f>'PEN Final Ajustado 03-07'!N134</f>
        <v>0</v>
      </c>
      <c r="J181" s="78">
        <f t="shared" si="25"/>
        <v>22026.880000000001</v>
      </c>
    </row>
    <row r="182" spans="2:10" ht="25.5">
      <c r="B182" s="11" t="str">
        <f>'PEN Final Ajustado 03-07'!B139</f>
        <v>7.23</v>
      </c>
      <c r="C182" s="52" t="str">
        <f>'PEN Final Ajustado 03-07'!C139</f>
        <v>Tratar 100% dos casos de TB MR confirmados  até 2017</v>
      </c>
      <c r="D182" s="69">
        <f>'PEN Final Ajustado 03-07'!H139</f>
        <v>0</v>
      </c>
      <c r="E182" s="78">
        <f>'PEN Final Ajustado 03-07'!J139</f>
        <v>0</v>
      </c>
      <c r="F182" s="78">
        <f>'PEN Final Ajustado 03-07'!K139</f>
        <v>0</v>
      </c>
      <c r="G182" s="78">
        <f>'PEN Final Ajustado 03-07'!L139</f>
        <v>0</v>
      </c>
      <c r="H182" s="78">
        <f>'PEN Final Ajustado 03-07'!M139</f>
        <v>0</v>
      </c>
      <c r="I182" s="78">
        <f>'PEN Final Ajustado 03-07'!N139</f>
        <v>0</v>
      </c>
      <c r="J182" s="78">
        <f t="shared" si="25"/>
        <v>0</v>
      </c>
    </row>
    <row r="183" spans="2:10" ht="38.25">
      <c r="B183" s="11" t="str">
        <f>'PEN Final Ajustado 03-07'!B140</f>
        <v>7.24</v>
      </c>
      <c r="C183" s="52" t="str">
        <f>'PEN Final Ajustado 03-07'!C140</f>
        <v>Assegurar o tratamento diretamente observado (TDO) a todos os os pacientes MR em tratamento</v>
      </c>
      <c r="D183" s="69">
        <f>'PEN Final Ajustado 03-07'!H140</f>
        <v>0</v>
      </c>
      <c r="E183" s="78">
        <f>'PEN Final Ajustado 03-07'!J140</f>
        <v>6103.6111111111113</v>
      </c>
      <c r="F183" s="78">
        <f>'PEN Final Ajustado 03-07'!K140</f>
        <v>6103.6111111111113</v>
      </c>
      <c r="G183" s="78">
        <f>'PEN Final Ajustado 03-07'!L140</f>
        <v>6103.6111111111113</v>
      </c>
      <c r="H183" s="78">
        <f>'PEN Final Ajustado 03-07'!M140</f>
        <v>6103.6111111111113</v>
      </c>
      <c r="I183" s="78">
        <f>'PEN Final Ajustado 03-07'!N140</f>
        <v>6103.6111111111113</v>
      </c>
      <c r="J183" s="78">
        <f t="shared" si="25"/>
        <v>30518.055555555555</v>
      </c>
    </row>
    <row r="184" spans="2:10" ht="25.5">
      <c r="B184" s="11" t="str">
        <f>'PEN Final Ajustado 03-07'!B141</f>
        <v>7.25</v>
      </c>
      <c r="C184" s="52" t="str">
        <f>'PEN Final Ajustado 03-07'!C141</f>
        <v>Identificar todos os pacientes irregulares ao tratamento</v>
      </c>
      <c r="D184" s="69">
        <f>'PEN Final Ajustado 03-07'!H141</f>
        <v>0</v>
      </c>
      <c r="E184" s="78">
        <f>'PEN Final Ajustado 03-07'!J141</f>
        <v>0</v>
      </c>
      <c r="F184" s="78">
        <f>'PEN Final Ajustado 03-07'!K141</f>
        <v>0</v>
      </c>
      <c r="G184" s="78">
        <f>'PEN Final Ajustado 03-07'!L141</f>
        <v>0</v>
      </c>
      <c r="H184" s="78">
        <f>'PEN Final Ajustado 03-07'!M141</f>
        <v>0</v>
      </c>
      <c r="I184" s="78">
        <f>'PEN Final Ajustado 03-07'!N141</f>
        <v>0</v>
      </c>
      <c r="J184" s="78">
        <f t="shared" si="25"/>
        <v>0</v>
      </c>
    </row>
    <row r="185" spans="2:10" ht="51">
      <c r="B185" s="11" t="str">
        <f>'PEN Final Ajustado 03-07'!B142</f>
        <v>7.26</v>
      </c>
      <c r="C185" s="52" t="str">
        <f>'PEN Final Ajustado 03-07'!C142</f>
        <v>Assegurar o seguimento dos efeitos adversos do tratamento TB MR nos doentes colocados sob tratamento, até 2017</v>
      </c>
      <c r="D185" s="69">
        <f>'PEN Final Ajustado 03-07'!H142</f>
        <v>0</v>
      </c>
      <c r="E185" s="78">
        <f>'PEN Final Ajustado 03-07'!J142</f>
        <v>225</v>
      </c>
      <c r="F185" s="78">
        <f>'PEN Final Ajustado 03-07'!K142</f>
        <v>250</v>
      </c>
      <c r="G185" s="78">
        <f>'PEN Final Ajustado 03-07'!L142</f>
        <v>266.66666666666669</v>
      </c>
      <c r="H185" s="78">
        <f>'PEN Final Ajustado 03-07'!M142</f>
        <v>277.77777777777777</v>
      </c>
      <c r="I185" s="78">
        <f>'PEN Final Ajustado 03-07'!N142</f>
        <v>319.44444444444446</v>
      </c>
      <c r="J185" s="78">
        <f t="shared" si="25"/>
        <v>1338.8888888888891</v>
      </c>
    </row>
    <row r="186" spans="2:10" ht="38.25">
      <c r="B186" s="11" t="str">
        <f>'PEN Final Ajustado 03-07'!B143</f>
        <v>7.27</v>
      </c>
      <c r="C186" s="52" t="str">
        <f>'PEN Final Ajustado 03-07'!C143</f>
        <v>Assegurar o manejo dos efeitos adversos a qualquer paciente sob tratamento, até 2017</v>
      </c>
      <c r="D186" s="69">
        <f>'PEN Final Ajustado 03-07'!H143</f>
        <v>0</v>
      </c>
      <c r="E186" s="78">
        <f>'PEN Final Ajustado 03-07'!J143</f>
        <v>4608</v>
      </c>
      <c r="F186" s="78">
        <f>'PEN Final Ajustado 03-07'!K143</f>
        <v>4608</v>
      </c>
      <c r="G186" s="78">
        <f>'PEN Final Ajustado 03-07'!L143</f>
        <v>4608</v>
      </c>
      <c r="H186" s="78">
        <f>'PEN Final Ajustado 03-07'!M143</f>
        <v>4608</v>
      </c>
      <c r="I186" s="78">
        <f>'PEN Final Ajustado 03-07'!N143</f>
        <v>4608</v>
      </c>
      <c r="J186" s="78">
        <f t="shared" si="25"/>
        <v>23040</v>
      </c>
    </row>
    <row r="187" spans="2:10" ht="38.25">
      <c r="B187" s="11" t="str">
        <f>'PEN Final Ajustado 03-07'!B145</f>
        <v>7.29</v>
      </c>
      <c r="C187" s="52" t="str">
        <f>'PEN Final Ajustado 03-07'!C145</f>
        <v>Implementar até 2015, o mecanismo de farmacovigilância para pacientes em tratamento.</v>
      </c>
      <c r="D187" s="69">
        <f>'PEN Final Ajustado 03-07'!H145</f>
        <v>0</v>
      </c>
      <c r="E187" s="78">
        <f>'PEN Final Ajustado 03-07'!J145</f>
        <v>5584.7</v>
      </c>
      <c r="F187" s="78">
        <f>'PEN Final Ajustado 03-07'!K145</f>
        <v>5584.7</v>
      </c>
      <c r="G187" s="78">
        <f>'PEN Final Ajustado 03-07'!L145</f>
        <v>5584.7</v>
      </c>
      <c r="H187" s="78">
        <f>'PEN Final Ajustado 03-07'!M145</f>
        <v>5584.7</v>
      </c>
      <c r="I187" s="78">
        <f>'PEN Final Ajustado 03-07'!N145</f>
        <v>5584.7</v>
      </c>
      <c r="J187" s="78">
        <f t="shared" si="25"/>
        <v>27923.5</v>
      </c>
    </row>
    <row r="190" spans="2:10" ht="25.5">
      <c r="C190" s="257" t="s">
        <v>914</v>
      </c>
      <c r="D190" s="262" t="s">
        <v>267</v>
      </c>
      <c r="E190" s="257" t="s">
        <v>272</v>
      </c>
      <c r="F190" s="257" t="s">
        <v>271</v>
      </c>
      <c r="G190" s="257" t="s">
        <v>270</v>
      </c>
      <c r="H190" s="257" t="s">
        <v>269</v>
      </c>
      <c r="I190" s="258" t="s">
        <v>268</v>
      </c>
      <c r="J190" s="257" t="s">
        <v>414</v>
      </c>
    </row>
    <row r="191" spans="2:10" ht="22.5">
      <c r="B191" s="254" t="s">
        <v>276</v>
      </c>
      <c r="C191" s="254" t="s">
        <v>408</v>
      </c>
      <c r="D191" s="263"/>
      <c r="E191" s="255">
        <f t="shared" ref="E191:I191" si="26">SUM(E192:E194)</f>
        <v>10890</v>
      </c>
      <c r="F191" s="255">
        <f t="shared" si="26"/>
        <v>19327.5</v>
      </c>
      <c r="G191" s="255">
        <f t="shared" si="26"/>
        <v>72607.555555555562</v>
      </c>
      <c r="H191" s="255">
        <f t="shared" si="26"/>
        <v>57607.555555555555</v>
      </c>
      <c r="I191" s="255">
        <f t="shared" si="26"/>
        <v>24512.5</v>
      </c>
      <c r="J191" s="255">
        <f>SUM(J192:J194)</f>
        <v>184945.11111111112</v>
      </c>
    </row>
    <row r="192" spans="2:10" ht="51">
      <c r="B192" s="11" t="str">
        <f>'PEN Final Ajustado 03-07'!B154</f>
        <v>7.38</v>
      </c>
      <c r="C192" s="1" t="str">
        <f>'PEN Final Ajustado 03-07'!C154</f>
        <v>Aprovisionar as estruturas de saúde com TB MR de meios de protecção individual contra a infecção tuberculosa (máscaras respiradoras)</v>
      </c>
      <c r="D192" s="69">
        <f>'PEN Final Ajustado 03-07'!H154</f>
        <v>0</v>
      </c>
      <c r="E192" s="78">
        <f>'PEN Final Ajustado 03-07'!J154</f>
        <v>10890</v>
      </c>
      <c r="F192" s="78">
        <f>'PEN Final Ajustado 03-07'!K154</f>
        <v>19327.5</v>
      </c>
      <c r="G192" s="78">
        <f>'PEN Final Ajustado 03-07'!L154</f>
        <v>24512.5</v>
      </c>
      <c r="H192" s="78">
        <f>'PEN Final Ajustado 03-07'!M154</f>
        <v>24512.5</v>
      </c>
      <c r="I192" s="78">
        <f>'PEN Final Ajustado 03-07'!N154</f>
        <v>24512.5</v>
      </c>
      <c r="J192" s="78">
        <f t="shared" ref="J192:J194" si="27">SUM(E192:I192)</f>
        <v>103755</v>
      </c>
    </row>
    <row r="193" spans="2:10" ht="38.25">
      <c r="B193" s="11" t="str">
        <f>'PEN Final Ajustado 03-07'!B155</f>
        <v>7.39</v>
      </c>
      <c r="C193" s="1" t="str">
        <f>'PEN Final Ajustado 03-07'!C155</f>
        <v>Formar 150 profissionais de saúde no controlo da infecção  eTB MR nas unidades sanitárias</v>
      </c>
      <c r="D193" s="69">
        <f>'PEN Final Ajustado 03-07'!H155</f>
        <v>0</v>
      </c>
      <c r="E193" s="78">
        <f>'PEN Final Ajustado 03-07'!J155</f>
        <v>0</v>
      </c>
      <c r="F193" s="78">
        <f>'PEN Final Ajustado 03-07'!K155</f>
        <v>0</v>
      </c>
      <c r="G193" s="78">
        <f>'PEN Final Ajustado 03-07'!L155</f>
        <v>33095.055555555555</v>
      </c>
      <c r="H193" s="78">
        <f>'PEN Final Ajustado 03-07'!M155</f>
        <v>33095.055555555555</v>
      </c>
      <c r="I193" s="78">
        <f>'PEN Final Ajustado 03-07'!N155</f>
        <v>0</v>
      </c>
      <c r="J193" s="78">
        <f t="shared" si="27"/>
        <v>66190.111111111109</v>
      </c>
    </row>
    <row r="194" spans="2:10" ht="38.25">
      <c r="B194" s="11" t="str">
        <f>'PEN Final Ajustado 03-07'!B156</f>
        <v>7.40</v>
      </c>
      <c r="C194" s="64" t="str">
        <f>'PEN Final Ajustado 03-07'!C156</f>
        <v xml:space="preserve">Realizar um inquérito sobre a aplicação das normas internacionais de controlo da infecção TBMR </v>
      </c>
      <c r="D194" s="69">
        <f>'PEN Final Ajustado 03-07'!H156</f>
        <v>0</v>
      </c>
      <c r="E194" s="78">
        <f>'PEN Final Ajustado 03-07'!J156</f>
        <v>0</v>
      </c>
      <c r="F194" s="78">
        <f>'PEN Final Ajustado 03-07'!K156</f>
        <v>0</v>
      </c>
      <c r="G194" s="78">
        <f>'PEN Final Ajustado 03-07'!L156</f>
        <v>15000</v>
      </c>
      <c r="H194" s="78">
        <f>'PEN Final Ajustado 03-07'!M156</f>
        <v>0</v>
      </c>
      <c r="I194" s="78">
        <f>'PEN Final Ajustado 03-07'!N156</f>
        <v>0</v>
      </c>
      <c r="J194" s="78">
        <f t="shared" si="27"/>
        <v>15000</v>
      </c>
    </row>
    <row r="197" spans="2:10" ht="25.5">
      <c r="C197" s="257" t="s">
        <v>914</v>
      </c>
      <c r="D197" s="262" t="s">
        <v>267</v>
      </c>
      <c r="E197" s="257" t="s">
        <v>272</v>
      </c>
      <c r="F197" s="257" t="s">
        <v>271</v>
      </c>
      <c r="G197" s="257" t="s">
        <v>270</v>
      </c>
      <c r="H197" s="257" t="s">
        <v>269</v>
      </c>
      <c r="I197" s="258" t="s">
        <v>268</v>
      </c>
      <c r="J197" s="257" t="s">
        <v>414</v>
      </c>
    </row>
    <row r="198" spans="2:10">
      <c r="B198" s="254" t="s">
        <v>276</v>
      </c>
      <c r="C198" s="254" t="s">
        <v>409</v>
      </c>
      <c r="D198" s="263"/>
      <c r="E198" s="255">
        <f t="shared" ref="E198:I198" si="28">SUM(E199:E200)</f>
        <v>2796.6</v>
      </c>
      <c r="F198" s="255">
        <f t="shared" si="28"/>
        <v>7111.2000000000007</v>
      </c>
      <c r="G198" s="255">
        <f t="shared" si="28"/>
        <v>2720.6</v>
      </c>
      <c r="H198" s="255">
        <f t="shared" si="28"/>
        <v>2720.6</v>
      </c>
      <c r="I198" s="255">
        <f t="shared" si="28"/>
        <v>2780.3</v>
      </c>
      <c r="J198" s="255">
        <f>SUM(J199:J200)</f>
        <v>18129.300000000003</v>
      </c>
    </row>
    <row r="199" spans="2:10" ht="51">
      <c r="B199" s="11" t="str">
        <f>'PEN Final Ajustado 03-07'!B144</f>
        <v>7.28</v>
      </c>
      <c r="C199" s="52" t="str">
        <f>'PEN Final Ajustado 03-07'!C144</f>
        <v xml:space="preserve"> Formar  - para cada paciente ao tratamento - um membro da Comunidade para a realização do TDO, até 2017 (488 Membres de la communauté)</v>
      </c>
      <c r="D199" s="69" t="str">
        <f>'PEN Final Ajustado 03-07'!H144</f>
        <v>Percentagem de pacientes com efeitos secundários que foram tratados</v>
      </c>
      <c r="E199" s="78">
        <f>'PEN Final Ajustado 03-07'!J144</f>
        <v>2796.6</v>
      </c>
      <c r="F199" s="78">
        <f>'PEN Final Ajustado 03-07'!K144</f>
        <v>2720.6</v>
      </c>
      <c r="G199" s="78">
        <f>'PEN Final Ajustado 03-07'!L144</f>
        <v>2720.6</v>
      </c>
      <c r="H199" s="78">
        <f>'PEN Final Ajustado 03-07'!M144</f>
        <v>2720.6</v>
      </c>
      <c r="I199" s="78">
        <f>'PEN Final Ajustado 03-07'!N144</f>
        <v>2780.3</v>
      </c>
      <c r="J199" s="78">
        <f t="shared" ref="J199:J200" si="29">SUM(E199:I199)</f>
        <v>13738.7</v>
      </c>
    </row>
    <row r="200" spans="2:10" ht="38.25">
      <c r="B200" s="11" t="str">
        <f>'PEN Final Ajustado 03-07'!B157</f>
        <v>7.41</v>
      </c>
      <c r="C200" s="64" t="str">
        <f>'PEN Final Ajustado 03-07'!C157</f>
        <v>Elaborar e multiplicar os materiais de sensibilização dos membros da comunidade sob controlo da infecção</v>
      </c>
      <c r="D200" s="69">
        <f>'PEN Final Ajustado 03-07'!H157</f>
        <v>0</v>
      </c>
      <c r="E200" s="78">
        <f>'PEN Final Ajustado 03-07'!J157</f>
        <v>0</v>
      </c>
      <c r="F200" s="78">
        <f>'PEN Final Ajustado 03-07'!K157</f>
        <v>4390.6000000000004</v>
      </c>
      <c r="G200" s="78">
        <f>'PEN Final Ajustado 03-07'!L157</f>
        <v>0</v>
      </c>
      <c r="H200" s="78">
        <f>'PEN Final Ajustado 03-07'!M157</f>
        <v>0</v>
      </c>
      <c r="I200" s="78">
        <f>'PEN Final Ajustado 03-07'!N157</f>
        <v>0</v>
      </c>
      <c r="J200" s="78">
        <f t="shared" si="29"/>
        <v>4390.6000000000004</v>
      </c>
    </row>
    <row r="203" spans="2:10" ht="25.5">
      <c r="C203" s="257" t="s">
        <v>914</v>
      </c>
      <c r="D203" s="262" t="s">
        <v>267</v>
      </c>
      <c r="E203" s="257" t="s">
        <v>272</v>
      </c>
      <c r="F203" s="257" t="s">
        <v>271</v>
      </c>
      <c r="G203" s="257" t="s">
        <v>270</v>
      </c>
      <c r="H203" s="257" t="s">
        <v>269</v>
      </c>
      <c r="I203" s="258" t="s">
        <v>268</v>
      </c>
      <c r="J203" s="257" t="s">
        <v>414</v>
      </c>
    </row>
    <row r="204" spans="2:10">
      <c r="B204" s="254" t="s">
        <v>276</v>
      </c>
      <c r="C204" s="254" t="s">
        <v>410</v>
      </c>
      <c r="D204" s="263"/>
      <c r="E204" s="255">
        <f>SUM(E205:E223)</f>
        <v>73579.518888888895</v>
      </c>
      <c r="F204" s="255">
        <f t="shared" ref="F204:I204" si="30">SUM(F205:F223)</f>
        <v>57738.568888888891</v>
      </c>
      <c r="G204" s="255">
        <f t="shared" si="30"/>
        <v>55604.718915444471</v>
      </c>
      <c r="H204" s="255">
        <f t="shared" si="30"/>
        <v>14755.229797837514</v>
      </c>
      <c r="I204" s="255">
        <f t="shared" si="30"/>
        <v>2322.96</v>
      </c>
      <c r="J204" s="255">
        <f>SUM(J205:J223)</f>
        <v>204000.99649105975</v>
      </c>
    </row>
    <row r="205" spans="2:10" ht="25.5">
      <c r="B205" s="10" t="str">
        <f>'PEN Final Ajustado 03-07'!B117</f>
        <v>7.1</v>
      </c>
      <c r="C205" s="14" t="str">
        <f>'PEN Final Ajustado 03-07'!C117</f>
        <v>Rever reproduzir o guia de Gestão de TB MR</v>
      </c>
      <c r="D205" s="43" t="str">
        <f>'PEN Final Ajustado 03-07'!H117</f>
        <v>Numero de guia disponivel</v>
      </c>
      <c r="E205" s="78">
        <f>'PEN Final Ajustado 03-07'!J117</f>
        <v>0</v>
      </c>
      <c r="F205" s="78">
        <f>'PEN Final Ajustado 03-07'!K117</f>
        <v>0</v>
      </c>
      <c r="G205" s="78">
        <f>'PEN Final Ajustado 03-07'!L117</f>
        <v>0</v>
      </c>
      <c r="H205" s="78">
        <f>'PEN Final Ajustado 03-07'!M117</f>
        <v>2070.59</v>
      </c>
      <c r="I205" s="78">
        <f>'PEN Final Ajustado 03-07'!N117</f>
        <v>0</v>
      </c>
      <c r="J205" s="78">
        <f t="shared" ref="J205:J223" si="31">SUM(E205:I205)</f>
        <v>2070.59</v>
      </c>
    </row>
    <row r="206" spans="2:10" ht="51">
      <c r="B206" s="10" t="str">
        <f>'PEN Final Ajustado 03-07'!B118</f>
        <v>7.2</v>
      </c>
      <c r="C206" s="14" t="str">
        <f>'PEN Final Ajustado 03-07'!C118</f>
        <v>Elaborar o documento de politica de controlo de infecção TB nos serviços de saúde e estabelecimentos colectivos e respectivo plano</v>
      </c>
      <c r="D206" s="43" t="str">
        <f>'PEN Final Ajustado 03-07'!H118</f>
        <v>Documentos elaborados e  disponiveis</v>
      </c>
      <c r="E206" s="78">
        <f>'PEN Final Ajustado 03-07'!J118</f>
        <v>0</v>
      </c>
      <c r="F206" s="78">
        <f>'PEN Final Ajustado 03-07'!K118</f>
        <v>42999.999999999993</v>
      </c>
      <c r="G206" s="78">
        <f>'PEN Final Ajustado 03-07'!L118</f>
        <v>0</v>
      </c>
      <c r="H206" s="78">
        <f>'PEN Final Ajustado 03-07'!M118</f>
        <v>0</v>
      </c>
      <c r="I206" s="78">
        <f>'PEN Final Ajustado 03-07'!N118</f>
        <v>0</v>
      </c>
      <c r="J206" s="78">
        <f t="shared" si="31"/>
        <v>42999.999999999993</v>
      </c>
    </row>
    <row r="207" spans="2:10" ht="25.5">
      <c r="B207" s="10" t="str">
        <f>'PEN Final Ajustado 03-07'!B119</f>
        <v>7.3</v>
      </c>
      <c r="C207" s="14" t="str">
        <f>'PEN Final Ajustado 03-07'!C119</f>
        <v xml:space="preserve"> Formar  15 técnicos em gestão de TB MR, 1 sessão de 5 dias (ano 2 e ano 4)</v>
      </c>
      <c r="D207" s="43" t="str">
        <f>'PEN Final Ajustado 03-07'!H119</f>
        <v>Numero técnicos formados</v>
      </c>
      <c r="E207" s="78">
        <f>'PEN Final Ajustado 03-07'!J119</f>
        <v>0</v>
      </c>
      <c r="F207" s="78">
        <f>'PEN Final Ajustado 03-07'!K119</f>
        <v>0</v>
      </c>
      <c r="G207" s="78">
        <f>'PEN Final Ajustado 03-07'!L119</f>
        <v>4411.3900000000003</v>
      </c>
      <c r="H207" s="78">
        <f>'PEN Final Ajustado 03-07'!M119</f>
        <v>4411.3900000000003</v>
      </c>
      <c r="I207" s="78">
        <f>'PEN Final Ajustado 03-07'!N119</f>
        <v>0</v>
      </c>
      <c r="J207" s="78">
        <f t="shared" si="31"/>
        <v>8822.7800000000007</v>
      </c>
    </row>
    <row r="208" spans="2:10" ht="38.25">
      <c r="B208" s="1" t="str">
        <f>'PEN Final Ajustado 03-07'!B125</f>
        <v>7.9</v>
      </c>
      <c r="C208" s="1" t="str">
        <f>'PEN Final Ajustado 03-07'!C125</f>
        <v>Criar e fazer funcionar um grupo de coordenação gestão para TB MR. (grupo técnico nacional)</v>
      </c>
      <c r="D208" s="42" t="str">
        <f>'PEN Final Ajustado 03-07'!H125</f>
        <v>Numero de relatorio das actividades</v>
      </c>
      <c r="E208" s="78">
        <f>'PEN Final Ajustado 03-07'!J125</f>
        <v>0</v>
      </c>
      <c r="F208" s="78">
        <f>'PEN Final Ajustado 03-07'!K125</f>
        <v>0</v>
      </c>
      <c r="G208" s="78">
        <f>'PEN Final Ajustado 03-07'!L125</f>
        <v>0</v>
      </c>
      <c r="H208" s="78">
        <f>'PEN Final Ajustado 03-07'!M125</f>
        <v>0</v>
      </c>
      <c r="I208" s="78">
        <f>'PEN Final Ajustado 03-07'!N125</f>
        <v>0</v>
      </c>
      <c r="J208" s="78">
        <f t="shared" si="31"/>
        <v>0</v>
      </c>
    </row>
    <row r="209" spans="2:10" ht="25.5">
      <c r="B209" s="11" t="str">
        <f>'PEN Final Ajustado 03-07'!B129</f>
        <v>7.13</v>
      </c>
      <c r="C209" s="11" t="str">
        <f>'PEN Final Ajustado 03-07'!C129</f>
        <v>Assegurar a Vigilância da resistência (implementar a vigilância sentinela)</v>
      </c>
      <c r="D209" s="42" t="str">
        <f>'PEN Final Ajustado 03-07'!H129</f>
        <v>Relatório de vigilância sentinela disponivel</v>
      </c>
      <c r="E209" s="78">
        <f>'PEN Final Ajustado 03-07'!J129</f>
        <v>0</v>
      </c>
      <c r="F209" s="78">
        <f>'PEN Final Ajustado 03-07'!K129</f>
        <v>7060.05</v>
      </c>
      <c r="G209" s="78">
        <f>'PEN Final Ajustado 03-07'!L129</f>
        <v>1423.33</v>
      </c>
      <c r="H209" s="78">
        <f>'PEN Final Ajustado 03-07'!M129</f>
        <v>1423.33</v>
      </c>
      <c r="I209" s="78">
        <f>'PEN Final Ajustado 03-07'!N129</f>
        <v>1423.33</v>
      </c>
      <c r="J209" s="78">
        <f t="shared" si="31"/>
        <v>11330.04</v>
      </c>
    </row>
    <row r="210" spans="2:10" ht="25.5">
      <c r="B210" s="11" t="str">
        <f>'PEN Final Ajustado 03-07'!B130</f>
        <v>7.14</v>
      </c>
      <c r="C210" s="11" t="str">
        <f>'PEN Final Ajustado 03-07'!C130</f>
        <v>Supervisionar as actividades de rotina da TB MR mensalmente</v>
      </c>
      <c r="D210" s="42" t="str">
        <f>'PEN Final Ajustado 03-07'!H130</f>
        <v>Numero de supervisão realizadas</v>
      </c>
      <c r="E210" s="78">
        <f>'PEN Final Ajustado 03-07'!J130</f>
        <v>747.33</v>
      </c>
      <c r="F210" s="78">
        <f>'PEN Final Ajustado 03-07'!K130</f>
        <v>747.33</v>
      </c>
      <c r="G210" s="78">
        <f>'PEN Final Ajustado 03-07'!L130</f>
        <v>747.33</v>
      </c>
      <c r="H210" s="78">
        <f>'PEN Final Ajustado 03-07'!M130</f>
        <v>747.33</v>
      </c>
      <c r="I210" s="78">
        <f>'PEN Final Ajustado 03-07'!N130</f>
        <v>747.33</v>
      </c>
      <c r="J210" s="78">
        <f t="shared" si="31"/>
        <v>3736.65</v>
      </c>
    </row>
    <row r="211" spans="2:10" ht="38.25">
      <c r="B211" s="11" t="str">
        <f>'PEN Final Ajustado 03-07'!B132</f>
        <v>7.16</v>
      </c>
      <c r="C211" s="11" t="str">
        <f>'PEN Final Ajustado 03-07'!C132</f>
        <v>Disponibilizar o plano de seguimento dos casos TB MR conforme as directrizes da OMS</v>
      </c>
      <c r="D211" s="42">
        <f>'PEN Final Ajustado 03-07'!H132</f>
        <v>0</v>
      </c>
      <c r="E211" s="78">
        <f>'PEN Final Ajustado 03-07'!J132</f>
        <v>0</v>
      </c>
      <c r="F211" s="78">
        <f>'PEN Final Ajustado 03-07'!K132</f>
        <v>0</v>
      </c>
      <c r="G211" s="78">
        <f>'PEN Final Ajustado 03-07'!L132</f>
        <v>0</v>
      </c>
      <c r="H211" s="78">
        <f>'PEN Final Ajustado 03-07'!M132</f>
        <v>0</v>
      </c>
      <c r="I211" s="78">
        <f>'PEN Final Ajustado 03-07'!N132</f>
        <v>0</v>
      </c>
      <c r="J211" s="78">
        <f t="shared" si="31"/>
        <v>0</v>
      </c>
    </row>
    <row r="212" spans="2:10" ht="38.25">
      <c r="B212" s="11" t="str">
        <f>'PEN Final Ajustado 03-07'!B135</f>
        <v>7.19</v>
      </c>
      <c r="C212" s="52" t="str">
        <f>'PEN Final Ajustado 03-07'!C135</f>
        <v>Fazer advocacia para a mobilização e a alocação dos recursos necessários para a luta contra a TBMR</v>
      </c>
      <c r="D212" s="69">
        <f>'PEN Final Ajustado 03-07'!H135</f>
        <v>0</v>
      </c>
      <c r="E212" s="78">
        <f>'PEN Final Ajustado 03-07'!J135</f>
        <v>152.30000000000001</v>
      </c>
      <c r="F212" s="78">
        <f>'PEN Final Ajustado 03-07'!K135</f>
        <v>152.30000000000001</v>
      </c>
      <c r="G212" s="78">
        <f>'PEN Final Ajustado 03-07'!L135</f>
        <v>152.30000000000001</v>
      </c>
      <c r="H212" s="78">
        <f>'PEN Final Ajustado 03-07'!M135</f>
        <v>152.30000000000001</v>
      </c>
      <c r="I212" s="78">
        <f>'PEN Final Ajustado 03-07'!N135</f>
        <v>152.30000000000001</v>
      </c>
      <c r="J212" s="78">
        <f t="shared" si="31"/>
        <v>761.5</v>
      </c>
    </row>
    <row r="213" spans="2:10" ht="38.25">
      <c r="B213" s="11" t="str">
        <f>'PEN Final Ajustado 03-07'!B136</f>
        <v>7.20</v>
      </c>
      <c r="C213" s="52" t="str">
        <f>'PEN Final Ajustado 03-07'!C136</f>
        <v>Assegurar a formação de três (3) quadros do programa em gestão de TB multirresistente.</v>
      </c>
      <c r="D213" s="69">
        <f>'PEN Final Ajustado 03-07'!H136</f>
        <v>0</v>
      </c>
      <c r="E213" s="78">
        <f>'PEN Final Ajustado 03-07'!J136</f>
        <v>44304</v>
      </c>
      <c r="F213" s="78">
        <f>'PEN Final Ajustado 03-07'!K136</f>
        <v>0</v>
      </c>
      <c r="G213" s="78">
        <f>'PEN Final Ajustado 03-07'!L136</f>
        <v>22152</v>
      </c>
      <c r="H213" s="78">
        <f>'PEN Final Ajustado 03-07'!M136</f>
        <v>0</v>
      </c>
      <c r="I213" s="78">
        <f>'PEN Final Ajustado 03-07'!N136</f>
        <v>0</v>
      </c>
      <c r="J213" s="78">
        <f t="shared" si="31"/>
        <v>66456</v>
      </c>
    </row>
    <row r="214" spans="2:10" ht="38.25">
      <c r="B214" s="11" t="str">
        <f>'PEN Final Ajustado 03-07'!B146</f>
        <v>7.30</v>
      </c>
      <c r="C214" s="52" t="str">
        <f>'PEN Final Ajustado 03-07'!C146</f>
        <v>Treinar 16 rofessionais para a utilização das orientações e ferramentas de coleta de dados</v>
      </c>
      <c r="D214" s="69">
        <f>'PEN Final Ajustado 03-07'!H146</f>
        <v>0</v>
      </c>
      <c r="E214" s="78">
        <f>'PEN Final Ajustado 03-07'!J146</f>
        <v>4048.3</v>
      </c>
      <c r="F214" s="78">
        <f>'PEN Final Ajustado 03-07'!K146</f>
        <v>0</v>
      </c>
      <c r="G214" s="78">
        <f>'PEN Final Ajustado 03-07'!L146</f>
        <v>0</v>
      </c>
      <c r="H214" s="78">
        <f>'PEN Final Ajustado 03-07'!M146</f>
        <v>0</v>
      </c>
      <c r="I214" s="78">
        <f>'PEN Final Ajustado 03-07'!N146</f>
        <v>0</v>
      </c>
      <c r="J214" s="78">
        <f t="shared" si="31"/>
        <v>4048.3</v>
      </c>
    </row>
    <row r="215" spans="2:10" ht="38.25">
      <c r="B215" s="11" t="str">
        <f>'PEN Final Ajustado 03-07'!B147</f>
        <v>7.31</v>
      </c>
      <c r="C215" s="52" t="str">
        <f>'PEN Final Ajustado 03-07'!C147</f>
        <v>Formar 50 gestores do sistema de saúde na exploração e análise de dados para tomada de decisão</v>
      </c>
      <c r="D215" s="69">
        <f>'PEN Final Ajustado 03-07'!H147</f>
        <v>0</v>
      </c>
      <c r="E215" s="78">
        <f>'PEN Final Ajustado 03-07'!J147</f>
        <v>6686.0555555555557</v>
      </c>
      <c r="F215" s="78">
        <f>'PEN Final Ajustado 03-07'!K147</f>
        <v>6686.0555555555557</v>
      </c>
      <c r="G215" s="78">
        <f>'PEN Final Ajustado 03-07'!L147</f>
        <v>0</v>
      </c>
      <c r="H215" s="78">
        <f>'PEN Final Ajustado 03-07'!M147</f>
        <v>0</v>
      </c>
      <c r="I215" s="78">
        <f>'PEN Final Ajustado 03-07'!N147</f>
        <v>0</v>
      </c>
      <c r="J215" s="78">
        <f t="shared" si="31"/>
        <v>13372.111111111111</v>
      </c>
    </row>
    <row r="216" spans="2:10" ht="51">
      <c r="B216" s="11" t="str">
        <f>'PEN Final Ajustado 03-07'!B148</f>
        <v>7.32</v>
      </c>
      <c r="C216" s="52" t="str">
        <f>'PEN Final Ajustado 03-07'!C148</f>
        <v xml:space="preserve">Advogar junto aos decisores (CNE, DAF e MSAS,.) para o planificação e orçamentação da supervisão, de forma regular </v>
      </c>
      <c r="D216" s="69">
        <f>'PEN Final Ajustado 03-07'!H148</f>
        <v>0</v>
      </c>
      <c r="E216" s="78">
        <f>'PEN Final Ajustado 03-07'!J148</f>
        <v>92.833333333333329</v>
      </c>
      <c r="F216" s="78">
        <f>'PEN Final Ajustado 03-07'!K148</f>
        <v>92.833333333333329</v>
      </c>
      <c r="G216" s="78">
        <f>'PEN Final Ajustado 03-07'!L148</f>
        <v>92.833333333333329</v>
      </c>
      <c r="H216" s="78">
        <f>'PEN Final Ajustado 03-07'!M148</f>
        <v>92.833333333333329</v>
      </c>
      <c r="I216" s="78">
        <f>'PEN Final Ajustado 03-07'!N148</f>
        <v>0</v>
      </c>
      <c r="J216" s="78">
        <f t="shared" si="31"/>
        <v>371.33333333333331</v>
      </c>
    </row>
    <row r="217" spans="2:10" ht="25.5">
      <c r="B217" s="11" t="str">
        <f>'PEN Final Ajustado 03-07'!B149</f>
        <v>7.33</v>
      </c>
      <c r="C217" s="52" t="str">
        <f>'PEN Final Ajustado 03-07'!C149</f>
        <v>Rever e alinhar o Plano S &amp; A TBMR  ao caneta 2013-2017</v>
      </c>
      <c r="D217" s="69">
        <f>'PEN Final Ajustado 03-07'!H149</f>
        <v>0</v>
      </c>
      <c r="E217" s="78">
        <f>'PEN Final Ajustado 03-07'!J149</f>
        <v>0</v>
      </c>
      <c r="F217" s="78">
        <f>'PEN Final Ajustado 03-07'!K149</f>
        <v>0</v>
      </c>
      <c r="G217" s="78">
        <f>'PEN Final Ajustado 03-07'!L149</f>
        <v>6502.7564645041803</v>
      </c>
      <c r="H217" s="78">
        <f>'PEN Final Ajustado 03-07'!M149</f>
        <v>0</v>
      </c>
      <c r="I217" s="78">
        <f>'PEN Final Ajustado 03-07'!N149</f>
        <v>0</v>
      </c>
      <c r="J217" s="78">
        <f t="shared" si="31"/>
        <v>6502.7564645041803</v>
      </c>
    </row>
    <row r="218" spans="2:10" ht="25.5">
      <c r="B218" s="11" t="str">
        <f>'PEN Final Ajustado 03-07'!B150</f>
        <v>7.34</v>
      </c>
      <c r="C218" s="52" t="str">
        <f>'PEN Final Ajustado 03-07'!C150</f>
        <v>Elaborar directrizes de vigilância de TBMR</v>
      </c>
      <c r="D218" s="69">
        <f>'PEN Final Ajustado 03-07'!H150</f>
        <v>0</v>
      </c>
      <c r="E218" s="78">
        <f>'PEN Final Ajustado 03-07'!J150</f>
        <v>14028.4</v>
      </c>
      <c r="F218" s="78">
        <f>'PEN Final Ajustado 03-07'!K150</f>
        <v>0</v>
      </c>
      <c r="G218" s="78">
        <f>'PEN Final Ajustado 03-07'!L150</f>
        <v>0</v>
      </c>
      <c r="H218" s="78">
        <f>'PEN Final Ajustado 03-07'!M150</f>
        <v>0</v>
      </c>
      <c r="I218" s="78">
        <f>'PEN Final Ajustado 03-07'!N150</f>
        <v>0</v>
      </c>
      <c r="J218" s="78">
        <f t="shared" si="31"/>
        <v>14028.4</v>
      </c>
    </row>
    <row r="219" spans="2:10" ht="25.5">
      <c r="B219" s="11" t="str">
        <f>'PEN Final Ajustado 03-07'!B151</f>
        <v>7.35</v>
      </c>
      <c r="C219" s="52" t="str">
        <f>'PEN Final Ajustado 03-07'!C151</f>
        <v xml:space="preserve">Doptar o PNLT de um ponto focal de TBMR  </v>
      </c>
      <c r="D219" s="69">
        <f>'PEN Final Ajustado 03-07'!H151</f>
        <v>0</v>
      </c>
      <c r="E219" s="78">
        <f>'PEN Final Ajustado 03-07'!J151</f>
        <v>0</v>
      </c>
      <c r="F219" s="78">
        <f>'PEN Final Ajustado 03-07'!K151</f>
        <v>0</v>
      </c>
      <c r="G219" s="78">
        <f>'PEN Final Ajustado 03-07'!L151</f>
        <v>0</v>
      </c>
      <c r="H219" s="78">
        <f>'PEN Final Ajustado 03-07'!M151</f>
        <v>0</v>
      </c>
      <c r="I219" s="78">
        <f>'PEN Final Ajustado 03-07'!N151</f>
        <v>0</v>
      </c>
      <c r="J219" s="78">
        <f t="shared" si="31"/>
        <v>0</v>
      </c>
    </row>
    <row r="220" spans="2:10" ht="25.5">
      <c r="B220" s="11" t="str">
        <f>'PEN Final Ajustado 03-07'!B152</f>
        <v>7.36</v>
      </c>
      <c r="C220" s="52" t="str">
        <f>'PEN Final Ajustado 03-07'!C152</f>
        <v>Reforçar a capacidade (formar e reciclar) dos quadros para a gestão de TBMR</v>
      </c>
      <c r="D220" s="69">
        <f>'PEN Final Ajustado 03-07'!H152</f>
        <v>0</v>
      </c>
      <c r="E220" s="78">
        <f>'PEN Final Ajustado 03-07'!J152</f>
        <v>3520.3</v>
      </c>
      <c r="F220" s="78">
        <f>'PEN Final Ajustado 03-07'!K152</f>
        <v>0</v>
      </c>
      <c r="G220" s="78">
        <f>'PEN Final Ajustado 03-07'!L152</f>
        <v>0</v>
      </c>
      <c r="H220" s="78">
        <f>'PEN Final Ajustado 03-07'!M152</f>
        <v>0</v>
      </c>
      <c r="I220" s="78">
        <f>'PEN Final Ajustado 03-07'!N152</f>
        <v>0</v>
      </c>
      <c r="J220" s="78">
        <f t="shared" si="31"/>
        <v>3520.3</v>
      </c>
    </row>
    <row r="221" spans="2:10" ht="38.25">
      <c r="B221" s="11" t="str">
        <f>'PEN Final Ajustado 03-07'!B153</f>
        <v>7.37</v>
      </c>
      <c r="C221" s="64" t="str">
        <f>'PEN Final Ajustado 03-07'!C153</f>
        <v>Elaborar o plano nacional para controlo da infecção tuberculina em São Tomé e Príncipe até finais de 2015</v>
      </c>
      <c r="D221" s="69">
        <f>'PEN Final Ajustado 03-07'!H153</f>
        <v>0</v>
      </c>
      <c r="E221" s="78">
        <f>'PEN Final Ajustado 03-07'!J153</f>
        <v>0</v>
      </c>
      <c r="F221" s="78">
        <f>'PEN Final Ajustado 03-07'!K153</f>
        <v>0</v>
      </c>
      <c r="G221" s="78">
        <f>'PEN Final Ajustado 03-07'!L153</f>
        <v>9538.8791176069535</v>
      </c>
      <c r="H221" s="78">
        <f>'PEN Final Ajustado 03-07'!M153</f>
        <v>0</v>
      </c>
      <c r="I221" s="78">
        <f>'PEN Final Ajustado 03-07'!N153</f>
        <v>0</v>
      </c>
      <c r="J221" s="78">
        <f t="shared" si="31"/>
        <v>9538.8791176069535</v>
      </c>
    </row>
    <row r="222" spans="2:10" ht="63.75">
      <c r="B222" s="11" t="str">
        <f>'PEN Final Ajustado 03-07'!B158</f>
        <v>7.42</v>
      </c>
      <c r="C222" s="65" t="str">
        <f>'PEN Final Ajustado 03-07'!C158</f>
        <v>Realizar um estudo para a reabilitação/adaptação das infraestruturas de tratamento da TB. Segundo as normas internacionais de controlo da infecção</v>
      </c>
      <c r="D222" s="69">
        <f>'PEN Final Ajustado 03-07'!H158</f>
        <v>0</v>
      </c>
      <c r="E222" s="78">
        <f>'PEN Final Ajustado 03-07'!J158</f>
        <v>0</v>
      </c>
      <c r="F222" s="78">
        <f>'PEN Final Ajustado 03-07'!K158</f>
        <v>0</v>
      </c>
      <c r="G222" s="78">
        <f>'PEN Final Ajustado 03-07'!L158</f>
        <v>10583.9</v>
      </c>
      <c r="H222" s="78">
        <f>'PEN Final Ajustado 03-07'!M158</f>
        <v>0</v>
      </c>
      <c r="I222" s="78">
        <f>'PEN Final Ajustado 03-07'!N158</f>
        <v>0</v>
      </c>
      <c r="J222" s="78">
        <f t="shared" si="31"/>
        <v>10583.9</v>
      </c>
    </row>
    <row r="223" spans="2:10" ht="38.25">
      <c r="B223" s="11" t="str">
        <f>'PEN Final Ajustado 03-07'!B159</f>
        <v>7.43</v>
      </c>
      <c r="C223" s="1" t="str">
        <f>'PEN Final Ajustado 03-07'!C159</f>
        <v>Elaborar as normas nacionais para construção de Insfrestruturas de saúde em STP, até final de 2014</v>
      </c>
      <c r="D223" s="69">
        <f>'PEN Final Ajustado 03-07'!H159</f>
        <v>0</v>
      </c>
      <c r="E223" s="78">
        <f>'PEN Final Ajustado 03-07'!J159</f>
        <v>0</v>
      </c>
      <c r="F223" s="78">
        <f>'PEN Final Ajustado 03-07'!K159</f>
        <v>0</v>
      </c>
      <c r="G223" s="78">
        <f>'PEN Final Ajustado 03-07'!L159</f>
        <v>0</v>
      </c>
      <c r="H223" s="78">
        <f>'PEN Final Ajustado 03-07'!M159</f>
        <v>5857.4564645041792</v>
      </c>
      <c r="I223" s="78">
        <f>'PEN Final Ajustado 03-07'!N159</f>
        <v>0</v>
      </c>
      <c r="J223" s="78">
        <f t="shared" si="31"/>
        <v>5857.4564645041792</v>
      </c>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dimension ref="B6:I29"/>
  <sheetViews>
    <sheetView showGridLines="0" topLeftCell="A7" zoomScaleNormal="100" workbookViewId="0">
      <selection activeCell="I10" sqref="I10"/>
    </sheetView>
  </sheetViews>
  <sheetFormatPr defaultRowHeight="15"/>
  <cols>
    <col min="1" max="1" width="4" customWidth="1"/>
    <col min="2" max="2" width="43.28515625" customWidth="1"/>
    <col min="3" max="8" width="12" bestFit="1" customWidth="1"/>
  </cols>
  <sheetData>
    <row r="6" spans="2:9">
      <c r="B6" s="374" t="s">
        <v>1121</v>
      </c>
      <c r="C6" s="374">
        <v>2013</v>
      </c>
      <c r="D6" s="374">
        <v>2014</v>
      </c>
      <c r="E6" s="374">
        <v>2015</v>
      </c>
      <c r="F6" s="374">
        <v>2016</v>
      </c>
      <c r="G6" s="374">
        <v>2017</v>
      </c>
      <c r="H6" s="374" t="s">
        <v>1122</v>
      </c>
    </row>
    <row r="7" spans="2:9">
      <c r="B7" s="375" t="s">
        <v>42</v>
      </c>
      <c r="C7" s="378">
        <f>SUM(C8:C9)</f>
        <v>14166.327500000001</v>
      </c>
      <c r="D7" s="378">
        <f t="shared" ref="D7:H7" si="0">SUM(D8:D9)</f>
        <v>26995.5491</v>
      </c>
      <c r="E7" s="378">
        <f t="shared" si="0"/>
        <v>7201.8428999999996</v>
      </c>
      <c r="F7" s="378">
        <f t="shared" si="0"/>
        <v>17208.062899999997</v>
      </c>
      <c r="G7" s="378">
        <f t="shared" si="0"/>
        <v>7225.8428999999996</v>
      </c>
      <c r="H7" s="378">
        <f t="shared" si="0"/>
        <v>72797.6253</v>
      </c>
      <c r="I7" s="395">
        <f>H7/H28*100</f>
        <v>1.7099048211271239</v>
      </c>
    </row>
    <row r="8" spans="2:9">
      <c r="B8" s="376" t="s">
        <v>405</v>
      </c>
      <c r="C8" s="379">
        <f>'Para word '!E138</f>
        <v>1878</v>
      </c>
      <c r="D8" s="379">
        <f>'Para word '!F138</f>
        <v>4804.0015999999996</v>
      </c>
      <c r="E8" s="379">
        <f>'Para word '!G138</f>
        <v>4835.1728999999996</v>
      </c>
      <c r="F8" s="379">
        <f>'Para word '!H138</f>
        <v>4847.1728999999996</v>
      </c>
      <c r="G8" s="379">
        <f>'Para word '!I138</f>
        <v>4859.1728999999996</v>
      </c>
      <c r="H8" s="379">
        <f>'Para word '!J138</f>
        <v>21223.5203</v>
      </c>
    </row>
    <row r="9" spans="2:9">
      <c r="B9" s="376" t="s">
        <v>406</v>
      </c>
      <c r="C9" s="379">
        <f>'Para word '!E149</f>
        <v>12288.327500000001</v>
      </c>
      <c r="D9" s="379">
        <f>'Para word '!F149</f>
        <v>22191.547500000001</v>
      </c>
      <c r="E9" s="379">
        <f>'Para word '!G149</f>
        <v>2366.67</v>
      </c>
      <c r="F9" s="379">
        <f>'Para word '!H149</f>
        <v>12360.89</v>
      </c>
      <c r="G9" s="379">
        <f>'Para word '!I149</f>
        <v>2366.67</v>
      </c>
      <c r="H9" s="379">
        <f>'Para word '!J149</f>
        <v>51574.105000000003</v>
      </c>
    </row>
    <row r="10" spans="2:9">
      <c r="B10" s="375" t="s">
        <v>144</v>
      </c>
      <c r="C10" s="378">
        <f>SUM(C11:C13)</f>
        <v>147288.47750000001</v>
      </c>
      <c r="D10" s="378">
        <f t="shared" ref="D10:H10" si="1">SUM(D11:D13)</f>
        <v>187275.65423993085</v>
      </c>
      <c r="E10" s="378">
        <f t="shared" si="1"/>
        <v>410782.64027446171</v>
      </c>
      <c r="F10" s="378">
        <f t="shared" si="1"/>
        <v>185449.84536650678</v>
      </c>
      <c r="G10" s="378">
        <f t="shared" si="1"/>
        <v>213444.80590315745</v>
      </c>
      <c r="H10" s="378">
        <f t="shared" si="1"/>
        <v>1144241.4232840566</v>
      </c>
      <c r="I10" s="395">
        <f>H10/H28*100</f>
        <v>26.876480079450758</v>
      </c>
    </row>
    <row r="11" spans="2:9">
      <c r="B11" s="376" t="s">
        <v>397</v>
      </c>
      <c r="C11" s="379">
        <f>'Para word '!E5</f>
        <v>89952.147500000006</v>
      </c>
      <c r="D11" s="379">
        <f>'Para word '!F5</f>
        <v>92963.787500000006</v>
      </c>
      <c r="E11" s="379">
        <f>'Para word '!G5</f>
        <v>195867.46000000002</v>
      </c>
      <c r="F11" s="379">
        <f>'Para word '!H5</f>
        <v>77645.61</v>
      </c>
      <c r="G11" s="379">
        <f>'Para word '!I5</f>
        <v>82878.880000000005</v>
      </c>
      <c r="H11" s="379">
        <f>'Para word '!J5</f>
        <v>539307.88500000001</v>
      </c>
    </row>
    <row r="12" spans="2:9">
      <c r="B12" s="376" t="s">
        <v>398</v>
      </c>
      <c r="C12" s="379">
        <f>'Para word '!E34</f>
        <v>57336.33</v>
      </c>
      <c r="D12" s="379">
        <f>'Para word '!F34</f>
        <v>94311.866739930832</v>
      </c>
      <c r="E12" s="379">
        <f>'Para word '!G34</f>
        <v>177260.12027446169</v>
      </c>
      <c r="F12" s="379">
        <f>'Para word '!H34</f>
        <v>107104.23536650678</v>
      </c>
      <c r="G12" s="379">
        <f>'Para word '!I34</f>
        <v>120662.86590315746</v>
      </c>
      <c r="H12" s="379">
        <f>'Para word '!J34</f>
        <v>556675.41828405671</v>
      </c>
    </row>
    <row r="13" spans="2:9">
      <c r="B13" s="376" t="s">
        <v>399</v>
      </c>
      <c r="C13" s="379">
        <f>'Para word '!E52</f>
        <v>0</v>
      </c>
      <c r="D13" s="379">
        <f>'Para word '!F52</f>
        <v>0</v>
      </c>
      <c r="E13" s="379">
        <f>'Para word '!G52</f>
        <v>37655.06</v>
      </c>
      <c r="F13" s="379">
        <f>'Para word '!H52</f>
        <v>700</v>
      </c>
      <c r="G13" s="379">
        <f>'Para word '!I52</f>
        <v>9903.06</v>
      </c>
      <c r="H13" s="379">
        <f>'Para word '!J52</f>
        <v>48258.119999999995</v>
      </c>
    </row>
    <row r="14" spans="2:9">
      <c r="B14" s="375" t="s">
        <v>390</v>
      </c>
      <c r="C14" s="378">
        <f>SUM(C15:C18)</f>
        <v>153625.272</v>
      </c>
      <c r="D14" s="378">
        <f t="shared" ref="D14:H14" si="2">SUM(D15:D18)</f>
        <v>162193.99000000002</v>
      </c>
      <c r="E14" s="378">
        <f t="shared" si="2"/>
        <v>204011.25</v>
      </c>
      <c r="F14" s="378">
        <f t="shared" si="2"/>
        <v>169711.03</v>
      </c>
      <c r="G14" s="378">
        <f t="shared" si="2"/>
        <v>130888.42000000001</v>
      </c>
      <c r="H14" s="378">
        <f t="shared" si="2"/>
        <v>820429.96200000006</v>
      </c>
      <c r="I14" s="395">
        <f>+H14/H28*100</f>
        <v>19.27064436016628</v>
      </c>
    </row>
    <row r="15" spans="2:9">
      <c r="B15" s="376" t="s">
        <v>401</v>
      </c>
      <c r="C15" s="379">
        <f>'Para word '!E85</f>
        <v>89009.42</v>
      </c>
      <c r="D15" s="379">
        <f>'Para word '!F85</f>
        <v>66244.030000000013</v>
      </c>
      <c r="E15" s="379">
        <f>'Para word '!G85</f>
        <v>115497.84</v>
      </c>
      <c r="F15" s="379">
        <f>'Para word '!H85</f>
        <v>84422.62</v>
      </c>
      <c r="G15" s="379">
        <f>'Para word '!I85</f>
        <v>70027.839999999997</v>
      </c>
      <c r="H15" s="379">
        <f>'Para word '!J85</f>
        <v>425201.75</v>
      </c>
    </row>
    <row r="16" spans="2:9">
      <c r="B16" s="376" t="s">
        <v>402</v>
      </c>
      <c r="C16" s="379">
        <f>'Para word '!E106</f>
        <v>7775.2</v>
      </c>
      <c r="D16" s="379">
        <f>'Para word '!F106</f>
        <v>53485.279999999999</v>
      </c>
      <c r="E16" s="379">
        <f>'Para word '!G106</f>
        <v>19816.060000000001</v>
      </c>
      <c r="F16" s="379">
        <f>'Para word '!H106</f>
        <v>30966.010000000002</v>
      </c>
      <c r="G16" s="379">
        <f>'Para word '!I106</f>
        <v>23582.82</v>
      </c>
      <c r="H16" s="379">
        <f>'Para word '!J106</f>
        <v>135625.37</v>
      </c>
    </row>
    <row r="17" spans="2:9">
      <c r="B17" s="376" t="s">
        <v>403</v>
      </c>
      <c r="C17" s="379">
        <f>'Para word '!E120</f>
        <v>37277.760000000002</v>
      </c>
      <c r="D17" s="379">
        <f>'Para word '!F120</f>
        <v>42464.68</v>
      </c>
      <c r="E17" s="379">
        <f>'Para word '!G120</f>
        <v>37277.760000000002</v>
      </c>
      <c r="F17" s="379">
        <f>'Para word '!H120</f>
        <v>42465.68</v>
      </c>
      <c r="G17" s="379">
        <f>'Para word '!I120</f>
        <v>37277.760000000002</v>
      </c>
      <c r="H17" s="379">
        <f>'Para word '!J120</f>
        <v>196763.64000000004</v>
      </c>
    </row>
    <row r="18" spans="2:9">
      <c r="B18" s="376" t="s">
        <v>404</v>
      </c>
      <c r="C18" s="379">
        <f>'Para word '!E129</f>
        <v>19562.891999999996</v>
      </c>
      <c r="D18" s="379">
        <f>'Para word '!F129</f>
        <v>0</v>
      </c>
      <c r="E18" s="379">
        <f>'Para word '!G129</f>
        <v>31419.589999999997</v>
      </c>
      <c r="F18" s="379">
        <f>'Para word '!H129</f>
        <v>11856.72</v>
      </c>
      <c r="G18" s="379">
        <f>'Para word '!I129</f>
        <v>0</v>
      </c>
      <c r="H18" s="379">
        <f>'Para word '!J129</f>
        <v>62839.201999999997</v>
      </c>
    </row>
    <row r="19" spans="2:9">
      <c r="B19" s="375" t="s">
        <v>389</v>
      </c>
      <c r="C19" s="378">
        <f>SUM(C20:C21)</f>
        <v>13475.74</v>
      </c>
      <c r="D19" s="378">
        <f t="shared" ref="D19:G19" si="3">SUM(D20:D21)</f>
        <v>43447.909999999996</v>
      </c>
      <c r="E19" s="378">
        <f t="shared" si="3"/>
        <v>60625.930000000008</v>
      </c>
      <c r="F19" s="378">
        <f t="shared" si="3"/>
        <v>99920.74</v>
      </c>
      <c r="G19" s="378">
        <f t="shared" si="3"/>
        <v>8291.52</v>
      </c>
      <c r="H19" s="378">
        <f>SUM(H20:H21)</f>
        <v>225761.83999999997</v>
      </c>
      <c r="I19" s="395">
        <f>+H19/H28*100</f>
        <v>5.3028001538743919</v>
      </c>
    </row>
    <row r="20" spans="2:9">
      <c r="B20" s="376" t="s">
        <v>400</v>
      </c>
      <c r="C20" s="379">
        <f>'Para word '!E62</f>
        <v>13475.74</v>
      </c>
      <c r="D20" s="379">
        <f>'Para word '!F62</f>
        <v>21447.909999999996</v>
      </c>
      <c r="E20" s="379">
        <f>'Para word '!G62</f>
        <v>49625.930000000008</v>
      </c>
      <c r="F20" s="379">
        <f>'Para word '!H62</f>
        <v>66920.740000000005</v>
      </c>
      <c r="G20" s="379">
        <f>'Para word '!I62</f>
        <v>8291.52</v>
      </c>
      <c r="H20" s="379">
        <f>'Para word '!J62</f>
        <v>159761.83999999997</v>
      </c>
    </row>
    <row r="21" spans="2:9">
      <c r="B21" s="376" t="s">
        <v>866</v>
      </c>
      <c r="C21" s="379">
        <f>'Para word '!E78</f>
        <v>0</v>
      </c>
      <c r="D21" s="379">
        <f>'Para word '!F78</f>
        <v>22000</v>
      </c>
      <c r="E21" s="379">
        <f>'Para word '!G78</f>
        <v>11000</v>
      </c>
      <c r="F21" s="379">
        <f>'Para word '!H78</f>
        <v>33000</v>
      </c>
      <c r="G21" s="379">
        <f>'Para word '!I78</f>
        <v>0</v>
      </c>
      <c r="H21" s="379">
        <f>'Para word '!J78</f>
        <v>66000</v>
      </c>
    </row>
    <row r="22" spans="2:9">
      <c r="B22" s="375" t="s">
        <v>4</v>
      </c>
      <c r="C22" s="378">
        <f>SUM(C23:C27)</f>
        <v>133585.10999999999</v>
      </c>
      <c r="D22" s="378">
        <f t="shared" ref="D22:H22" si="4">SUM(D23:D27)</f>
        <v>696660.77555555548</v>
      </c>
      <c r="E22" s="378">
        <f t="shared" si="4"/>
        <v>869055.83224877762</v>
      </c>
      <c r="F22" s="378">
        <f t="shared" si="4"/>
        <v>159143.71424228197</v>
      </c>
      <c r="G22" s="378">
        <f t="shared" si="4"/>
        <v>135731.75555555554</v>
      </c>
      <c r="H22" s="378">
        <f t="shared" si="4"/>
        <v>1994177.1876021705</v>
      </c>
      <c r="I22" s="395">
        <f>+H22/H28*100</f>
        <v>46.840170585381451</v>
      </c>
    </row>
    <row r="23" spans="2:9">
      <c r="B23" s="376" t="s">
        <v>407</v>
      </c>
      <c r="C23" s="379">
        <f>'Para word '!E164</f>
        <v>1753.33</v>
      </c>
      <c r="D23" s="379">
        <f>'Para word '!F164</f>
        <v>569660.28555555549</v>
      </c>
      <c r="E23" s="379">
        <f>'Para word '!G164</f>
        <v>651439.62999999989</v>
      </c>
      <c r="F23" s="379">
        <f>'Para word '!H164</f>
        <v>38050.33</v>
      </c>
      <c r="G23" s="379">
        <f>'Para word '!I164</f>
        <v>44375.33</v>
      </c>
      <c r="H23" s="379">
        <f>'Para word '!J164</f>
        <v>1305278.9055555554</v>
      </c>
    </row>
    <row r="24" spans="2:9">
      <c r="B24" s="376" t="s">
        <v>402</v>
      </c>
      <c r="C24" s="379">
        <f>'Para word '!E176</f>
        <v>44565.661111111105</v>
      </c>
      <c r="D24" s="379">
        <f>'Para word '!F176</f>
        <v>42823.221111111103</v>
      </c>
      <c r="E24" s="379">
        <f>'Para word '!G176</f>
        <v>86683.327777777769</v>
      </c>
      <c r="F24" s="379">
        <f>'Para word '!H176</f>
        <v>46009.998888888884</v>
      </c>
      <c r="G24" s="379">
        <f>'Para word '!I176</f>
        <v>61740.665555555548</v>
      </c>
      <c r="H24" s="379">
        <f>'Para word '!J176</f>
        <v>281822.87444444443</v>
      </c>
    </row>
    <row r="25" spans="2:9">
      <c r="B25" s="376" t="s">
        <v>408</v>
      </c>
      <c r="C25" s="379">
        <f>'Para word '!E191</f>
        <v>10890</v>
      </c>
      <c r="D25" s="379">
        <f>'Para word '!F191</f>
        <v>19327.5</v>
      </c>
      <c r="E25" s="379">
        <f>'Para word '!G191</f>
        <v>72607.555555555562</v>
      </c>
      <c r="F25" s="379">
        <f>'Para word '!H191</f>
        <v>57607.555555555555</v>
      </c>
      <c r="G25" s="379">
        <f>'Para word '!I191</f>
        <v>24512.5</v>
      </c>
      <c r="H25" s="379">
        <f>'Para word '!J191</f>
        <v>184945.11111111112</v>
      </c>
    </row>
    <row r="26" spans="2:9">
      <c r="B26" s="376" t="s">
        <v>409</v>
      </c>
      <c r="C26" s="379">
        <f>'Para word '!E198</f>
        <v>2796.6</v>
      </c>
      <c r="D26" s="379">
        <f>'Para word '!F198</f>
        <v>7111.2000000000007</v>
      </c>
      <c r="E26" s="379">
        <f>'Para word '!G198</f>
        <v>2720.6</v>
      </c>
      <c r="F26" s="379">
        <f>'Para word '!H198</f>
        <v>2720.6</v>
      </c>
      <c r="G26" s="379">
        <f>'Para word '!I198</f>
        <v>2780.3</v>
      </c>
      <c r="H26" s="379">
        <f>'Para word '!J198</f>
        <v>18129.300000000003</v>
      </c>
    </row>
    <row r="27" spans="2:9">
      <c r="B27" s="376" t="s">
        <v>410</v>
      </c>
      <c r="C27" s="379">
        <f>'Para word '!E204</f>
        <v>73579.518888888895</v>
      </c>
      <c r="D27" s="379">
        <f>'Para word '!F204</f>
        <v>57738.568888888891</v>
      </c>
      <c r="E27" s="379">
        <f>'Para word '!G204</f>
        <v>55604.718915444471</v>
      </c>
      <c r="F27" s="379">
        <f>'Para word '!H204</f>
        <v>14755.229797837514</v>
      </c>
      <c r="G27" s="379">
        <f>'Para word '!I204</f>
        <v>2322.96</v>
      </c>
      <c r="H27" s="379">
        <f>'Para word '!J204</f>
        <v>204000.99649105975</v>
      </c>
    </row>
    <row r="28" spans="2:9">
      <c r="B28" s="377" t="s">
        <v>416</v>
      </c>
      <c r="C28" s="380">
        <f>C7+C10+C14+C19+C22</f>
        <v>462140.92700000003</v>
      </c>
      <c r="D28" s="380">
        <f t="shared" ref="D28:G28" si="5">D7+D10+D14+D19+D22</f>
        <v>1116573.8788954862</v>
      </c>
      <c r="E28" s="380">
        <f t="shared" si="5"/>
        <v>1551677.4954232392</v>
      </c>
      <c r="F28" s="380">
        <f t="shared" si="5"/>
        <v>631433.39250878873</v>
      </c>
      <c r="G28" s="380">
        <f t="shared" si="5"/>
        <v>495582.34435871302</v>
      </c>
      <c r="H28" s="380">
        <f>H7+H10+H14+H19+H22</f>
        <v>4257408.038186227</v>
      </c>
      <c r="I28" s="396">
        <f>H28/H28*100</f>
        <v>100</v>
      </c>
    </row>
    <row r="29" spans="2:9">
      <c r="H29" s="348">
        <f>SUM(C28:G28)</f>
        <v>4257408.0381862279</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tabColor theme="3" tint="-0.249977111117893"/>
  </sheetPr>
  <dimension ref="A3:G26"/>
  <sheetViews>
    <sheetView topLeftCell="B4" workbookViewId="0">
      <selection activeCell="G26" sqref="G26"/>
    </sheetView>
  </sheetViews>
  <sheetFormatPr defaultRowHeight="15"/>
  <cols>
    <col min="1" max="1" width="50" bestFit="1" customWidth="1"/>
    <col min="2" max="2" width="23.7109375" bestFit="1" customWidth="1"/>
    <col min="3" max="5" width="23.7109375" customWidth="1"/>
    <col min="6" max="6" width="23.7109375" bestFit="1" customWidth="1"/>
    <col min="7" max="7" width="14" customWidth="1"/>
  </cols>
  <sheetData>
    <row r="3" spans="1:7">
      <c r="B3" s="85" t="s">
        <v>905</v>
      </c>
    </row>
    <row r="4" spans="1:7">
      <c r="A4" s="85" t="s">
        <v>415</v>
      </c>
      <c r="B4" t="s">
        <v>906</v>
      </c>
      <c r="C4" t="s">
        <v>907</v>
      </c>
      <c r="D4" t="s">
        <v>417</v>
      </c>
      <c r="E4" t="s">
        <v>418</v>
      </c>
      <c r="F4" t="s">
        <v>419</v>
      </c>
    </row>
    <row r="5" spans="1:7">
      <c r="A5" s="86" t="s">
        <v>42</v>
      </c>
      <c r="B5" s="87">
        <v>14166.327500000001</v>
      </c>
      <c r="C5" s="87">
        <v>26995.5491</v>
      </c>
      <c r="D5" s="87">
        <v>7201.8428999999996</v>
      </c>
      <c r="E5" s="87">
        <v>17208.062899999997</v>
      </c>
      <c r="F5" s="87">
        <v>7225.8428999999996</v>
      </c>
      <c r="G5" s="394">
        <f>SUM(B5:F5)</f>
        <v>72797.6253</v>
      </c>
    </row>
    <row r="6" spans="1:7">
      <c r="A6" s="241" t="s">
        <v>405</v>
      </c>
      <c r="B6" s="87">
        <v>1878</v>
      </c>
      <c r="C6" s="87">
        <v>4804.0015999999996</v>
      </c>
      <c r="D6" s="87">
        <v>4835.1728999999996</v>
      </c>
      <c r="E6" s="87">
        <v>4847.1728999999996</v>
      </c>
      <c r="F6" s="87">
        <v>4859.1728999999996</v>
      </c>
      <c r="G6">
        <f t="shared" ref="G6:G26" si="0">SUM(B6:F6)</f>
        <v>21223.520299999996</v>
      </c>
    </row>
    <row r="7" spans="1:7">
      <c r="A7" s="241" t="s">
        <v>406</v>
      </c>
      <c r="B7" s="87">
        <v>12288.327500000001</v>
      </c>
      <c r="C7" s="87">
        <v>22191.547500000001</v>
      </c>
      <c r="D7" s="87">
        <v>2366.67</v>
      </c>
      <c r="E7" s="87">
        <v>12360.89</v>
      </c>
      <c r="F7" s="87">
        <v>2366.67</v>
      </c>
      <c r="G7">
        <f t="shared" si="0"/>
        <v>51574.104999999996</v>
      </c>
    </row>
    <row r="8" spans="1:7">
      <c r="A8" s="86" t="s">
        <v>144</v>
      </c>
      <c r="B8" s="87">
        <v>147288.47750000001</v>
      </c>
      <c r="C8" s="87">
        <v>187275.65423993085</v>
      </c>
      <c r="D8" s="87">
        <v>410782.64027446171</v>
      </c>
      <c r="E8" s="87">
        <v>185449.84536650678</v>
      </c>
      <c r="F8" s="87">
        <v>213444.80590315745</v>
      </c>
      <c r="G8" s="394">
        <f t="shared" si="0"/>
        <v>1144241.4232840568</v>
      </c>
    </row>
    <row r="9" spans="1:7">
      <c r="A9" s="241" t="s">
        <v>397</v>
      </c>
      <c r="B9" s="87">
        <v>89952.147500000006</v>
      </c>
      <c r="C9" s="87">
        <v>92963.787500000006</v>
      </c>
      <c r="D9" s="87">
        <v>195867.46000000002</v>
      </c>
      <c r="E9" s="87">
        <v>77645.61</v>
      </c>
      <c r="F9" s="87">
        <v>82878.880000000005</v>
      </c>
      <c r="G9">
        <f t="shared" si="0"/>
        <v>539307.88500000001</v>
      </c>
    </row>
    <row r="10" spans="1:7">
      <c r="A10" s="241" t="s">
        <v>398</v>
      </c>
      <c r="B10" s="87">
        <v>57336.33</v>
      </c>
      <c r="C10" s="87">
        <v>94311.866739930832</v>
      </c>
      <c r="D10" s="87">
        <v>177260.12027446169</v>
      </c>
      <c r="E10" s="87">
        <v>107104.23536650678</v>
      </c>
      <c r="F10" s="87">
        <v>120662.86590315746</v>
      </c>
      <c r="G10">
        <f t="shared" si="0"/>
        <v>556675.41828405682</v>
      </c>
    </row>
    <row r="11" spans="1:7">
      <c r="A11" s="241" t="s">
        <v>399</v>
      </c>
      <c r="B11" s="87">
        <v>0</v>
      </c>
      <c r="C11" s="87">
        <v>0</v>
      </c>
      <c r="D11" s="87">
        <v>37655.06</v>
      </c>
      <c r="E11" s="87">
        <v>700</v>
      </c>
      <c r="F11" s="87">
        <v>9903.06</v>
      </c>
      <c r="G11">
        <f t="shared" si="0"/>
        <v>48258.119999999995</v>
      </c>
    </row>
    <row r="12" spans="1:7">
      <c r="A12" s="86" t="s">
        <v>390</v>
      </c>
      <c r="B12" s="87">
        <v>153625.272</v>
      </c>
      <c r="C12" s="87">
        <v>162193.99000000002</v>
      </c>
      <c r="D12" s="87">
        <v>204011.25</v>
      </c>
      <c r="E12" s="87">
        <v>169711.03</v>
      </c>
      <c r="F12" s="87">
        <v>130888.42000000001</v>
      </c>
      <c r="G12" s="394">
        <f t="shared" si="0"/>
        <v>820429.96200000006</v>
      </c>
    </row>
    <row r="13" spans="1:7">
      <c r="A13" s="241" t="s">
        <v>401</v>
      </c>
      <c r="B13" s="87">
        <v>89009.42</v>
      </c>
      <c r="C13" s="87">
        <v>66244.030000000013</v>
      </c>
      <c r="D13" s="87">
        <v>115497.84</v>
      </c>
      <c r="E13" s="87">
        <v>84422.62</v>
      </c>
      <c r="F13" s="87">
        <v>70027.839999999997</v>
      </c>
      <c r="G13">
        <f t="shared" si="0"/>
        <v>425201.75</v>
      </c>
    </row>
    <row r="14" spans="1:7">
      <c r="A14" s="241" t="s">
        <v>402</v>
      </c>
      <c r="B14" s="87">
        <v>7775.2</v>
      </c>
      <c r="C14" s="87">
        <v>53485.279999999999</v>
      </c>
      <c r="D14" s="87">
        <v>19816.060000000001</v>
      </c>
      <c r="E14" s="87">
        <v>30966.010000000002</v>
      </c>
      <c r="F14" s="87">
        <v>23582.82</v>
      </c>
      <c r="G14">
        <f t="shared" si="0"/>
        <v>135625.37</v>
      </c>
    </row>
    <row r="15" spans="1:7">
      <c r="A15" s="241" t="s">
        <v>403</v>
      </c>
      <c r="B15" s="87">
        <v>37277.760000000002</v>
      </c>
      <c r="C15" s="87">
        <v>42464.68</v>
      </c>
      <c r="D15" s="87">
        <v>37277.760000000002</v>
      </c>
      <c r="E15" s="87">
        <v>42465.68</v>
      </c>
      <c r="F15" s="87">
        <v>37277.760000000002</v>
      </c>
      <c r="G15">
        <f t="shared" si="0"/>
        <v>196763.64</v>
      </c>
    </row>
    <row r="16" spans="1:7">
      <c r="A16" s="241" t="s">
        <v>404</v>
      </c>
      <c r="B16" s="87">
        <v>19562.891999999996</v>
      </c>
      <c r="C16" s="87">
        <v>0</v>
      </c>
      <c r="D16" s="87">
        <v>31419.589999999997</v>
      </c>
      <c r="E16" s="87">
        <v>11856.72</v>
      </c>
      <c r="F16" s="87">
        <v>0</v>
      </c>
      <c r="G16">
        <f t="shared" si="0"/>
        <v>62839.20199999999</v>
      </c>
    </row>
    <row r="17" spans="1:7">
      <c r="A17" s="86" t="s">
        <v>389</v>
      </c>
      <c r="B17" s="87">
        <v>13475.74</v>
      </c>
      <c r="C17" s="87">
        <v>43447.909999999996</v>
      </c>
      <c r="D17" s="87">
        <v>60625.930000000008</v>
      </c>
      <c r="E17" s="87">
        <v>99920.74</v>
      </c>
      <c r="F17" s="87">
        <v>8291.52</v>
      </c>
      <c r="G17" s="394">
        <f t="shared" si="0"/>
        <v>225761.84</v>
      </c>
    </row>
    <row r="18" spans="1:7">
      <c r="A18" s="241" t="s">
        <v>400</v>
      </c>
      <c r="B18" s="87">
        <v>13475.74</v>
      </c>
      <c r="C18" s="87">
        <v>21447.909999999996</v>
      </c>
      <c r="D18" s="87">
        <v>49625.930000000008</v>
      </c>
      <c r="E18" s="87">
        <v>66920.740000000005</v>
      </c>
      <c r="F18" s="87">
        <v>8291.52</v>
      </c>
      <c r="G18">
        <f t="shared" si="0"/>
        <v>159761.84</v>
      </c>
    </row>
    <row r="19" spans="1:7">
      <c r="A19" s="241" t="s">
        <v>866</v>
      </c>
      <c r="B19" s="87">
        <v>0</v>
      </c>
      <c r="C19" s="87">
        <v>22000</v>
      </c>
      <c r="D19" s="87">
        <v>11000</v>
      </c>
      <c r="E19" s="87">
        <v>33000</v>
      </c>
      <c r="F19" s="87">
        <v>0</v>
      </c>
      <c r="G19">
        <f t="shared" si="0"/>
        <v>66000</v>
      </c>
    </row>
    <row r="20" spans="1:7">
      <c r="A20" s="86" t="s">
        <v>4</v>
      </c>
      <c r="B20" s="87">
        <v>133585.10999999999</v>
      </c>
      <c r="C20" s="87">
        <v>696660.77555555548</v>
      </c>
      <c r="D20" s="87">
        <v>869055.83224877762</v>
      </c>
      <c r="E20" s="87">
        <v>159143.71424228197</v>
      </c>
      <c r="F20" s="87">
        <v>135731.75555555554</v>
      </c>
      <c r="G20" s="394">
        <f t="shared" si="0"/>
        <v>1994177.1876021705</v>
      </c>
    </row>
    <row r="21" spans="1:7">
      <c r="A21" s="241" t="s">
        <v>407</v>
      </c>
      <c r="B21" s="87">
        <v>1753.33</v>
      </c>
      <c r="C21" s="87">
        <v>569660.28555555549</v>
      </c>
      <c r="D21" s="87">
        <v>651439.62999999989</v>
      </c>
      <c r="E21" s="87">
        <v>38050.33</v>
      </c>
      <c r="F21" s="87">
        <v>44375.33</v>
      </c>
      <c r="G21">
        <f t="shared" si="0"/>
        <v>1305278.9055555556</v>
      </c>
    </row>
    <row r="22" spans="1:7">
      <c r="A22" s="241" t="s">
        <v>402</v>
      </c>
      <c r="B22" s="87">
        <v>44565.661111111105</v>
      </c>
      <c r="C22" s="87">
        <v>42823.221111111103</v>
      </c>
      <c r="D22" s="87">
        <v>86683.327777777769</v>
      </c>
      <c r="E22" s="87">
        <v>46009.998888888884</v>
      </c>
      <c r="F22" s="87">
        <v>61740.665555555548</v>
      </c>
      <c r="G22">
        <f t="shared" si="0"/>
        <v>281822.87444444443</v>
      </c>
    </row>
    <row r="23" spans="1:7">
      <c r="A23" s="241" t="s">
        <v>408</v>
      </c>
      <c r="B23" s="87">
        <v>10890</v>
      </c>
      <c r="C23" s="87">
        <v>19327.5</v>
      </c>
      <c r="D23" s="87">
        <v>72607.555555555562</v>
      </c>
      <c r="E23" s="87">
        <v>57607.555555555555</v>
      </c>
      <c r="F23" s="87">
        <v>24512.5</v>
      </c>
      <c r="G23">
        <f t="shared" si="0"/>
        <v>184945.11111111112</v>
      </c>
    </row>
    <row r="24" spans="1:7">
      <c r="A24" s="241" t="s">
        <v>409</v>
      </c>
      <c r="B24" s="87">
        <v>2796.6</v>
      </c>
      <c r="C24" s="87">
        <v>7111.2000000000007</v>
      </c>
      <c r="D24" s="87">
        <v>2720.6</v>
      </c>
      <c r="E24" s="87">
        <v>2720.6</v>
      </c>
      <c r="F24" s="87">
        <v>2780.3</v>
      </c>
      <c r="G24">
        <f t="shared" si="0"/>
        <v>18129.300000000003</v>
      </c>
    </row>
    <row r="25" spans="1:7">
      <c r="A25" s="241" t="s">
        <v>410</v>
      </c>
      <c r="B25" s="87">
        <v>73579.518888888895</v>
      </c>
      <c r="C25" s="87">
        <v>57738.568888888891</v>
      </c>
      <c r="D25" s="87">
        <v>55604.718915444471</v>
      </c>
      <c r="E25" s="87">
        <v>14755.229797837514</v>
      </c>
      <c r="F25" s="87">
        <v>2322.96</v>
      </c>
      <c r="G25">
        <f t="shared" si="0"/>
        <v>204000.99649105975</v>
      </c>
    </row>
    <row r="26" spans="1:7">
      <c r="A26" s="86" t="s">
        <v>416</v>
      </c>
      <c r="B26" s="87">
        <v>462140.92699999997</v>
      </c>
      <c r="C26" s="87">
        <v>1116573.8788954862</v>
      </c>
      <c r="D26" s="87">
        <v>1551677.4954232397</v>
      </c>
      <c r="E26" s="87">
        <v>631433.39250878873</v>
      </c>
      <c r="F26" s="87">
        <v>495582.34435871308</v>
      </c>
      <c r="G26" s="394">
        <f t="shared" si="0"/>
        <v>4257408.0381862279</v>
      </c>
    </row>
  </sheetData>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sheetPr>
    <tabColor theme="3" tint="-0.249977111117893"/>
  </sheetPr>
  <dimension ref="A1:V166"/>
  <sheetViews>
    <sheetView zoomScaleNormal="100" workbookViewId="0">
      <pane ySplit="5" topLeftCell="A120" activePane="bottomLeft" state="frozenSplit"/>
      <selection pane="bottomLeft" activeCell="L121" sqref="L121"/>
    </sheetView>
  </sheetViews>
  <sheetFormatPr defaultRowHeight="15"/>
  <cols>
    <col min="1" max="1" width="4.5703125" style="2" customWidth="1"/>
    <col min="2" max="2" width="6.5703125" style="2" customWidth="1"/>
    <col min="3" max="3" width="30.28515625" style="2" customWidth="1"/>
    <col min="4" max="4" width="3" style="2" customWidth="1"/>
    <col min="5" max="5" width="12.140625" style="2" customWidth="1"/>
    <col min="6" max="6" width="3" style="2" customWidth="1"/>
    <col min="7" max="9" width="12.85546875" style="2" customWidth="1"/>
    <col min="10" max="10" width="11" style="4" customWidth="1"/>
    <col min="11" max="11" width="11" style="3" customWidth="1"/>
    <col min="12" max="12" width="10.28515625" style="3" customWidth="1"/>
    <col min="13" max="14" width="11" style="2" customWidth="1"/>
    <col min="15" max="15" width="11.28515625" style="2" bestFit="1" customWidth="1"/>
    <col min="16" max="22" width="11.28515625" style="2" customWidth="1"/>
    <col min="23" max="16384" width="9.140625" style="2"/>
  </cols>
  <sheetData>
    <row r="1" spans="1:22" ht="19.5" customHeight="1">
      <c r="C1" s="84" t="s">
        <v>902</v>
      </c>
    </row>
    <row r="2" spans="1:22" ht="6.75" customHeight="1">
      <c r="B2" s="24"/>
    </row>
    <row r="3" spans="1:22" ht="17.25" customHeight="1">
      <c r="J3" s="2"/>
      <c r="K3" s="2"/>
      <c r="L3" s="2"/>
      <c r="P3" s="381" t="s">
        <v>894</v>
      </c>
      <c r="Q3" s="381"/>
      <c r="R3" s="381"/>
      <c r="S3" s="381"/>
      <c r="T3" s="381"/>
      <c r="U3" s="381"/>
      <c r="V3" s="243"/>
    </row>
    <row r="4" spans="1:22" ht="44.25" customHeight="1">
      <c r="A4" s="82" t="s">
        <v>278</v>
      </c>
      <c r="B4" s="74" t="s">
        <v>276</v>
      </c>
      <c r="C4" s="81" t="s">
        <v>275</v>
      </c>
      <c r="D4" s="75" t="s">
        <v>412</v>
      </c>
      <c r="E4" s="39" t="s">
        <v>274</v>
      </c>
      <c r="F4" s="76" t="s">
        <v>413</v>
      </c>
      <c r="G4" s="53" t="s">
        <v>411</v>
      </c>
      <c r="H4" s="61" t="s">
        <v>267</v>
      </c>
      <c r="I4" s="34" t="s">
        <v>273</v>
      </c>
      <c r="J4" s="77" t="s">
        <v>272</v>
      </c>
      <c r="K4" s="77" t="s">
        <v>271</v>
      </c>
      <c r="L4" s="77" t="s">
        <v>270</v>
      </c>
      <c r="M4" s="77" t="s">
        <v>269</v>
      </c>
      <c r="N4" s="73" t="s">
        <v>268</v>
      </c>
      <c r="O4" s="72" t="s">
        <v>414</v>
      </c>
      <c r="P4" s="219" t="s">
        <v>895</v>
      </c>
      <c r="Q4" s="221" t="s">
        <v>896</v>
      </c>
      <c r="R4" s="222" t="s">
        <v>897</v>
      </c>
      <c r="S4" s="220" t="s">
        <v>898</v>
      </c>
      <c r="T4" s="223" t="s">
        <v>899</v>
      </c>
      <c r="U4" s="218" t="s">
        <v>900</v>
      </c>
      <c r="V4" s="242" t="s">
        <v>901</v>
      </c>
    </row>
    <row r="5" spans="1:22" ht="52.5" customHeight="1">
      <c r="A5" s="12">
        <v>1</v>
      </c>
      <c r="B5" s="10" t="s">
        <v>266</v>
      </c>
      <c r="C5" s="14" t="s">
        <v>865</v>
      </c>
      <c r="D5" s="6">
        <v>2</v>
      </c>
      <c r="E5" s="8" t="s">
        <v>144</v>
      </c>
      <c r="F5" s="8">
        <v>1</v>
      </c>
      <c r="G5" s="66" t="s">
        <v>397</v>
      </c>
      <c r="H5" s="5" t="s">
        <v>334</v>
      </c>
      <c r="I5" s="28" t="s">
        <v>184</v>
      </c>
      <c r="J5" s="42">
        <v>0</v>
      </c>
      <c r="K5" s="47">
        <v>0</v>
      </c>
      <c r="L5" s="43">
        <f>'Dados Detalhados'!$L$3</f>
        <v>7778.35</v>
      </c>
      <c r="M5" s="43">
        <v>0</v>
      </c>
      <c r="N5" s="43">
        <v>0</v>
      </c>
      <c r="O5" s="78">
        <f t="shared" ref="O5:O68" si="0">J5+K5+L5+M5+N5</f>
        <v>7778.35</v>
      </c>
      <c r="P5" s="78"/>
      <c r="Q5" s="78"/>
      <c r="R5" s="78"/>
      <c r="S5" s="78"/>
      <c r="T5" s="78"/>
      <c r="U5" s="78"/>
      <c r="V5" s="78">
        <f>+O5</f>
        <v>7778.35</v>
      </c>
    </row>
    <row r="6" spans="1:22" ht="52.5" customHeight="1">
      <c r="A6" s="12">
        <v>2</v>
      </c>
      <c r="B6" s="10" t="s">
        <v>264</v>
      </c>
      <c r="C6" s="14" t="s">
        <v>263</v>
      </c>
      <c r="D6" s="6">
        <v>1</v>
      </c>
      <c r="E6" s="8" t="s">
        <v>144</v>
      </c>
      <c r="F6" s="8">
        <v>1</v>
      </c>
      <c r="G6" s="66" t="s">
        <v>397</v>
      </c>
      <c r="H6" s="5" t="s">
        <v>334</v>
      </c>
      <c r="I6" s="28" t="s">
        <v>184</v>
      </c>
      <c r="J6" s="224">
        <f>'Dados Detalhados'!$L$37</f>
        <v>6177.64</v>
      </c>
      <c r="K6" s="224">
        <f>'Dados Detalhados'!$L$37</f>
        <v>6177.64</v>
      </c>
      <c r="L6" s="224">
        <f>'Dados Detalhados'!$L$37</f>
        <v>6177.64</v>
      </c>
      <c r="M6" s="224">
        <f>'Dados Detalhados'!$L$37</f>
        <v>6177.64</v>
      </c>
      <c r="N6" s="224">
        <f>'Dados Detalhados'!$L$37</f>
        <v>6177.64</v>
      </c>
      <c r="O6" s="78">
        <f t="shared" si="0"/>
        <v>30888.2</v>
      </c>
      <c r="P6" s="78">
        <f>+O6</f>
        <v>30888.2</v>
      </c>
      <c r="Q6" s="78"/>
      <c r="R6" s="78"/>
      <c r="S6" s="78"/>
      <c r="T6" s="78"/>
      <c r="U6" s="78"/>
      <c r="V6" s="78"/>
    </row>
    <row r="7" spans="1:22" ht="52.5" customHeight="1">
      <c r="A7" s="12">
        <v>3</v>
      </c>
      <c r="B7" s="10" t="s">
        <v>262</v>
      </c>
      <c r="C7" s="14" t="s">
        <v>261</v>
      </c>
      <c r="D7" s="6">
        <v>3</v>
      </c>
      <c r="E7" s="8" t="s">
        <v>144</v>
      </c>
      <c r="F7" s="8">
        <v>1</v>
      </c>
      <c r="G7" s="66" t="s">
        <v>397</v>
      </c>
      <c r="H7" s="5" t="s">
        <v>334</v>
      </c>
      <c r="I7" s="28" t="s">
        <v>184</v>
      </c>
      <c r="J7" s="42">
        <v>0</v>
      </c>
      <c r="K7" s="47">
        <v>0</v>
      </c>
      <c r="L7" s="43">
        <f>'Dados Detalhados'!$L$66</f>
        <v>3315.83</v>
      </c>
      <c r="M7" s="43">
        <v>0</v>
      </c>
      <c r="N7" s="43">
        <f>'Dados Detalhados'!$L$66</f>
        <v>3315.83</v>
      </c>
      <c r="O7" s="78">
        <f t="shared" si="0"/>
        <v>6631.66</v>
      </c>
      <c r="P7" s="78"/>
      <c r="Q7" s="78"/>
      <c r="R7" s="78"/>
      <c r="S7" s="78"/>
      <c r="T7" s="78"/>
      <c r="U7" s="78"/>
      <c r="V7" s="78">
        <f>+O7</f>
        <v>6631.66</v>
      </c>
    </row>
    <row r="8" spans="1:22" ht="52.5" customHeight="1">
      <c r="A8" s="12">
        <v>4</v>
      </c>
      <c r="B8" s="10" t="s">
        <v>260</v>
      </c>
      <c r="C8" s="14" t="s">
        <v>259</v>
      </c>
      <c r="D8" s="6">
        <v>1</v>
      </c>
      <c r="E8" s="8" t="s">
        <v>144</v>
      </c>
      <c r="F8" s="8">
        <v>1</v>
      </c>
      <c r="G8" s="66" t="s">
        <v>397</v>
      </c>
      <c r="H8" s="5" t="s">
        <v>334</v>
      </c>
      <c r="I8" s="28" t="s">
        <v>184</v>
      </c>
      <c r="J8" s="224">
        <f>'Dados Detalhados'!$L$95</f>
        <v>1905.11</v>
      </c>
      <c r="K8" s="224">
        <f>'Dados Detalhados'!$L$95</f>
        <v>1905.11</v>
      </c>
      <c r="L8" s="224">
        <f>'Dados Detalhados'!$L$95</f>
        <v>1905.11</v>
      </c>
      <c r="M8" s="224">
        <f>'Dados Detalhados'!$L$95</f>
        <v>1905.11</v>
      </c>
      <c r="N8" s="224">
        <f>'Dados Detalhados'!$L$95</f>
        <v>1905.11</v>
      </c>
      <c r="O8" s="78">
        <f t="shared" si="0"/>
        <v>9525.5499999999993</v>
      </c>
      <c r="P8" s="78">
        <f t="shared" ref="P8:P70" si="1">+O8</f>
        <v>9525.5499999999993</v>
      </c>
      <c r="Q8" s="78"/>
      <c r="R8" s="78"/>
      <c r="S8" s="78"/>
      <c r="T8" s="78"/>
      <c r="U8" s="78"/>
      <c r="V8" s="78"/>
    </row>
    <row r="9" spans="1:22" ht="52.5" customHeight="1">
      <c r="A9" s="12">
        <v>5</v>
      </c>
      <c r="B9" s="10" t="s">
        <v>258</v>
      </c>
      <c r="C9" s="14" t="s">
        <v>257</v>
      </c>
      <c r="D9" s="6">
        <v>3</v>
      </c>
      <c r="E9" s="8" t="s">
        <v>144</v>
      </c>
      <c r="F9" s="8">
        <v>1</v>
      </c>
      <c r="G9" s="66" t="s">
        <v>397</v>
      </c>
      <c r="H9" s="5" t="s">
        <v>334</v>
      </c>
      <c r="I9" s="28" t="s">
        <v>184</v>
      </c>
      <c r="J9" s="224">
        <f>'Dados Detalhados'!$L$124</f>
        <v>2951.1100000000006</v>
      </c>
      <c r="K9" s="224">
        <f>'Dados Detalhados'!$L$124</f>
        <v>2951.1100000000006</v>
      </c>
      <c r="L9" s="224">
        <f>'Dados Detalhados'!$L$124</f>
        <v>2951.1100000000006</v>
      </c>
      <c r="M9" s="224">
        <f>'Dados Detalhados'!$L$124</f>
        <v>2951.1100000000006</v>
      </c>
      <c r="N9" s="224">
        <f>'Dados Detalhados'!$L$124</f>
        <v>2951.1100000000006</v>
      </c>
      <c r="O9" s="78">
        <f t="shared" si="0"/>
        <v>14755.550000000003</v>
      </c>
      <c r="P9" s="78">
        <f t="shared" si="1"/>
        <v>14755.550000000003</v>
      </c>
      <c r="Q9" s="78"/>
      <c r="R9" s="78"/>
      <c r="S9" s="78"/>
      <c r="T9" s="78"/>
      <c r="U9" s="78"/>
      <c r="V9" s="78"/>
    </row>
    <row r="10" spans="1:22" ht="52.5" customHeight="1">
      <c r="A10" s="12">
        <v>6</v>
      </c>
      <c r="B10" s="10" t="s">
        <v>256</v>
      </c>
      <c r="C10" s="14" t="s">
        <v>255</v>
      </c>
      <c r="D10" s="6">
        <v>3</v>
      </c>
      <c r="E10" s="8" t="s">
        <v>144</v>
      </c>
      <c r="F10" s="8">
        <v>1</v>
      </c>
      <c r="G10" s="66" t="s">
        <v>397</v>
      </c>
      <c r="H10" s="5" t="s">
        <v>334</v>
      </c>
      <c r="I10" s="28" t="s">
        <v>184</v>
      </c>
      <c r="J10" s="42">
        <f>'Dados Detalhados'!$L$153</f>
        <v>2224.0974999999999</v>
      </c>
      <c r="K10" s="47">
        <v>0</v>
      </c>
      <c r="L10" s="43">
        <v>0</v>
      </c>
      <c r="M10" s="43">
        <v>0</v>
      </c>
      <c r="N10" s="43">
        <v>0</v>
      </c>
      <c r="O10" s="78">
        <f t="shared" si="0"/>
        <v>2224.0974999999999</v>
      </c>
      <c r="P10" s="78"/>
      <c r="Q10" s="78"/>
      <c r="R10" s="78"/>
      <c r="S10" s="78"/>
      <c r="T10" s="78"/>
      <c r="U10" s="78"/>
      <c r="V10" s="78">
        <f>+O10</f>
        <v>2224.0974999999999</v>
      </c>
    </row>
    <row r="11" spans="1:22" ht="52.5" customHeight="1">
      <c r="A11" s="12">
        <v>7</v>
      </c>
      <c r="B11" s="14" t="s">
        <v>254</v>
      </c>
      <c r="C11" s="14" t="s">
        <v>253</v>
      </c>
      <c r="D11" s="6">
        <v>2</v>
      </c>
      <c r="E11" s="8" t="s">
        <v>144</v>
      </c>
      <c r="F11" s="8">
        <v>1</v>
      </c>
      <c r="G11" s="66" t="s">
        <v>397</v>
      </c>
      <c r="H11" s="5" t="s">
        <v>334</v>
      </c>
      <c r="I11" s="28" t="s">
        <v>184</v>
      </c>
      <c r="J11" s="42">
        <v>0</v>
      </c>
      <c r="K11" s="47"/>
      <c r="L11" s="225">
        <f>'Dados Detalhados'!$L$180</f>
        <v>4963.0599999999995</v>
      </c>
      <c r="M11" s="43">
        <v>0</v>
      </c>
      <c r="N11" s="43">
        <v>0</v>
      </c>
      <c r="O11" s="78">
        <f t="shared" si="0"/>
        <v>4963.0599999999995</v>
      </c>
      <c r="P11" s="78"/>
      <c r="Q11" s="78"/>
      <c r="R11" s="78">
        <f t="shared" ref="R11:R52" si="2">+O11</f>
        <v>4963.0599999999995</v>
      </c>
      <c r="S11" s="78"/>
      <c r="T11" s="78"/>
      <c r="U11" s="78"/>
      <c r="V11" s="78"/>
    </row>
    <row r="12" spans="1:22" ht="52.5" customHeight="1">
      <c r="A12" s="12">
        <v>8</v>
      </c>
      <c r="B12" s="14" t="s">
        <v>252</v>
      </c>
      <c r="C12" s="14" t="s">
        <v>251</v>
      </c>
      <c r="D12" s="6">
        <v>1</v>
      </c>
      <c r="E12" s="8" t="s">
        <v>144</v>
      </c>
      <c r="F12" s="8">
        <v>1</v>
      </c>
      <c r="G12" s="66" t="s">
        <v>397</v>
      </c>
      <c r="H12" s="5"/>
      <c r="I12" s="28" t="s">
        <v>184</v>
      </c>
      <c r="J12" s="42">
        <v>0</v>
      </c>
      <c r="K12" s="68"/>
      <c r="L12" s="43">
        <f>'Dados Detalhados'!$L$209</f>
        <v>582.78000000000009</v>
      </c>
      <c r="M12" s="43">
        <v>0</v>
      </c>
      <c r="N12" s="43">
        <v>0</v>
      </c>
      <c r="O12" s="78">
        <f t="shared" si="0"/>
        <v>582.78000000000009</v>
      </c>
      <c r="P12" s="78"/>
      <c r="Q12" s="78"/>
      <c r="R12" s="78"/>
      <c r="S12" s="78"/>
      <c r="T12" s="78"/>
      <c r="U12" s="78"/>
      <c r="V12" s="78">
        <f t="shared" ref="V12:V75" si="3">+O12</f>
        <v>582.78000000000009</v>
      </c>
    </row>
    <row r="13" spans="1:22" ht="52.5" customHeight="1">
      <c r="A13" s="12">
        <v>9</v>
      </c>
      <c r="B13" s="10" t="s">
        <v>250</v>
      </c>
      <c r="C13" s="14" t="s">
        <v>249</v>
      </c>
      <c r="D13" s="6">
        <v>1</v>
      </c>
      <c r="E13" s="8" t="s">
        <v>144</v>
      </c>
      <c r="F13" s="8">
        <v>1</v>
      </c>
      <c r="G13" s="66" t="s">
        <v>397</v>
      </c>
      <c r="H13" s="5" t="s">
        <v>334</v>
      </c>
      <c r="I13" s="28" t="s">
        <v>184</v>
      </c>
      <c r="J13" s="42">
        <v>0</v>
      </c>
      <c r="K13" s="68"/>
      <c r="L13" s="43">
        <v>0</v>
      </c>
      <c r="M13" s="224">
        <f>'Dados Detalhados'!$L$216</f>
        <v>2058.5600000000004</v>
      </c>
      <c r="N13" s="43">
        <v>0</v>
      </c>
      <c r="O13" s="78">
        <f t="shared" si="0"/>
        <v>2058.5600000000004</v>
      </c>
      <c r="P13" s="78">
        <f t="shared" si="1"/>
        <v>2058.5600000000004</v>
      </c>
      <c r="Q13" s="78"/>
      <c r="R13" s="78"/>
      <c r="S13" s="78"/>
      <c r="T13" s="78"/>
      <c r="U13" s="78"/>
      <c r="V13" s="78"/>
    </row>
    <row r="14" spans="1:22" ht="52.5" customHeight="1">
      <c r="A14" s="12">
        <v>10</v>
      </c>
      <c r="B14" s="10" t="s">
        <v>248</v>
      </c>
      <c r="C14" s="10" t="s">
        <v>247</v>
      </c>
      <c r="D14" s="6">
        <v>3</v>
      </c>
      <c r="E14" s="8" t="s">
        <v>144</v>
      </c>
      <c r="F14" s="8">
        <v>1</v>
      </c>
      <c r="G14" s="66" t="s">
        <v>397</v>
      </c>
      <c r="H14" s="9" t="s">
        <v>334</v>
      </c>
      <c r="I14" s="28" t="s">
        <v>184</v>
      </c>
      <c r="J14" s="227">
        <f>'Dados Detalhados'!$L$233</f>
        <v>80</v>
      </c>
      <c r="K14" s="47">
        <v>0</v>
      </c>
      <c r="L14" s="43">
        <v>0</v>
      </c>
      <c r="M14" s="43">
        <v>0</v>
      </c>
      <c r="N14" s="43">
        <v>0</v>
      </c>
      <c r="O14" s="78">
        <f t="shared" si="0"/>
        <v>80</v>
      </c>
      <c r="P14" s="78"/>
      <c r="Q14" s="78"/>
      <c r="R14" s="78"/>
      <c r="S14" s="78"/>
      <c r="T14" s="78">
        <f t="shared" ref="T14:T62" si="4">+O14</f>
        <v>80</v>
      </c>
      <c r="U14" s="78"/>
      <c r="V14" s="78"/>
    </row>
    <row r="15" spans="1:22" ht="52.5" customHeight="1">
      <c r="A15" s="12">
        <v>11</v>
      </c>
      <c r="B15" s="10" t="s">
        <v>246</v>
      </c>
      <c r="C15" s="51" t="s">
        <v>333</v>
      </c>
      <c r="D15" s="6">
        <v>1</v>
      </c>
      <c r="E15" s="8" t="s">
        <v>144</v>
      </c>
      <c r="F15" s="8">
        <v>1</v>
      </c>
      <c r="G15" s="66" t="s">
        <v>397</v>
      </c>
      <c r="H15" s="5"/>
      <c r="I15" s="28" t="s">
        <v>184</v>
      </c>
      <c r="J15" s="42">
        <f>'Dados Detalhados'!$L$235</f>
        <v>0</v>
      </c>
      <c r="K15" s="47"/>
      <c r="L15" s="43"/>
      <c r="M15" s="43"/>
      <c r="N15" s="43"/>
      <c r="O15" s="78">
        <f t="shared" si="0"/>
        <v>0</v>
      </c>
      <c r="P15" s="78">
        <f t="shared" si="1"/>
        <v>0</v>
      </c>
      <c r="Q15" s="78">
        <f t="shared" ref="Q15:Q51" si="5">+O15</f>
        <v>0</v>
      </c>
      <c r="R15" s="78">
        <f t="shared" si="2"/>
        <v>0</v>
      </c>
      <c r="S15" s="78">
        <f t="shared" ref="S15:S51" si="6">+O15</f>
        <v>0</v>
      </c>
      <c r="T15" s="78">
        <f t="shared" si="4"/>
        <v>0</v>
      </c>
      <c r="U15" s="78"/>
      <c r="V15" s="78">
        <f t="shared" si="3"/>
        <v>0</v>
      </c>
    </row>
    <row r="16" spans="1:22" ht="52.5" customHeight="1">
      <c r="A16" s="12">
        <v>12</v>
      </c>
      <c r="B16" s="10" t="s">
        <v>245</v>
      </c>
      <c r="C16" s="51" t="s">
        <v>393</v>
      </c>
      <c r="D16" s="6">
        <v>1</v>
      </c>
      <c r="E16" s="8" t="s">
        <v>144</v>
      </c>
      <c r="F16" s="8">
        <v>1</v>
      </c>
      <c r="G16" s="66" t="s">
        <v>397</v>
      </c>
      <c r="H16" s="9"/>
      <c r="I16" s="28" t="s">
        <v>184</v>
      </c>
      <c r="J16" s="224">
        <f>'Dados Detalhados'!$L$247</f>
        <v>60330</v>
      </c>
      <c r="K16" s="224">
        <f>'Dados Detalhados'!$L$247</f>
        <v>60330</v>
      </c>
      <c r="L16" s="224">
        <f>'Dados Detalhados'!$L$247</f>
        <v>60330</v>
      </c>
      <c r="M16" s="224">
        <f>'Dados Detalhados'!$L$247</f>
        <v>60330</v>
      </c>
      <c r="N16" s="224">
        <f>'Dados Detalhados'!$L$247</f>
        <v>60330</v>
      </c>
      <c r="O16" s="78">
        <f t="shared" si="0"/>
        <v>301650</v>
      </c>
      <c r="P16" s="78">
        <f t="shared" si="1"/>
        <v>301650</v>
      </c>
      <c r="Q16" s="78"/>
      <c r="R16" s="78"/>
      <c r="S16" s="78"/>
      <c r="T16" s="78"/>
      <c r="U16" s="78"/>
      <c r="V16" s="78"/>
    </row>
    <row r="17" spans="1:22" ht="52.5" customHeight="1">
      <c r="A17" s="12">
        <v>13</v>
      </c>
      <c r="B17" s="10" t="s">
        <v>244</v>
      </c>
      <c r="C17" s="14" t="s">
        <v>243</v>
      </c>
      <c r="D17" s="6">
        <v>1</v>
      </c>
      <c r="E17" s="8" t="s">
        <v>144</v>
      </c>
      <c r="F17" s="8">
        <v>1</v>
      </c>
      <c r="G17" s="66" t="s">
        <v>397</v>
      </c>
      <c r="H17" s="5"/>
      <c r="I17" s="28" t="s">
        <v>184</v>
      </c>
      <c r="J17" s="42">
        <v>0</v>
      </c>
      <c r="K17" s="228">
        <f>'Dados Detalhados'!$L$258</f>
        <v>1804.6575</v>
      </c>
      <c r="L17" s="43">
        <v>0</v>
      </c>
      <c r="M17" s="43">
        <v>0</v>
      </c>
      <c r="N17" s="43">
        <v>0</v>
      </c>
      <c r="O17" s="78">
        <f t="shared" si="0"/>
        <v>1804.6575</v>
      </c>
      <c r="P17" s="78"/>
      <c r="Q17" s="78">
        <f t="shared" si="5"/>
        <v>1804.6575</v>
      </c>
      <c r="R17" s="78"/>
      <c r="S17" s="78"/>
      <c r="T17" s="78"/>
      <c r="U17" s="78"/>
      <c r="V17" s="78"/>
    </row>
    <row r="18" spans="1:22" ht="52.5" customHeight="1">
      <c r="A18" s="12">
        <v>14</v>
      </c>
      <c r="B18" s="10" t="s">
        <v>242</v>
      </c>
      <c r="C18" s="14" t="s">
        <v>241</v>
      </c>
      <c r="D18" s="6">
        <v>1</v>
      </c>
      <c r="E18" s="8" t="s">
        <v>144</v>
      </c>
      <c r="F18" s="8">
        <v>1</v>
      </c>
      <c r="G18" s="66" t="s">
        <v>397</v>
      </c>
      <c r="H18" s="5" t="s">
        <v>332</v>
      </c>
      <c r="I18" s="28" t="s">
        <v>184</v>
      </c>
      <c r="J18" s="224">
        <f>'Dados Detalhados'!$L$280</f>
        <v>11876</v>
      </c>
      <c r="K18" s="224">
        <f>'Dados Detalhados'!$L$280</f>
        <v>11876</v>
      </c>
      <c r="L18" s="224">
        <f>'Dados Detalhados'!$L$280</f>
        <v>11876</v>
      </c>
      <c r="M18" s="43">
        <v>0</v>
      </c>
      <c r="N18" s="43">
        <v>0</v>
      </c>
      <c r="O18" s="78">
        <f t="shared" si="0"/>
        <v>35628</v>
      </c>
      <c r="P18" s="78">
        <f t="shared" si="1"/>
        <v>35628</v>
      </c>
      <c r="Q18" s="78"/>
      <c r="R18" s="78"/>
      <c r="S18" s="78"/>
      <c r="T18" s="78"/>
      <c r="U18" s="78"/>
      <c r="V18" s="78"/>
    </row>
    <row r="19" spans="1:22" ht="52.5" customHeight="1">
      <c r="A19" s="12">
        <v>15</v>
      </c>
      <c r="B19" s="10" t="s">
        <v>240</v>
      </c>
      <c r="C19" s="14" t="s">
        <v>239</v>
      </c>
      <c r="D19" s="6">
        <v>1</v>
      </c>
      <c r="E19" s="8" t="s">
        <v>144</v>
      </c>
      <c r="F19" s="8">
        <v>1</v>
      </c>
      <c r="G19" s="66" t="s">
        <v>397</v>
      </c>
      <c r="H19" s="5" t="s">
        <v>332</v>
      </c>
      <c r="I19" s="28" t="s">
        <v>184</v>
      </c>
      <c r="J19" s="42">
        <v>0</v>
      </c>
      <c r="K19" s="229">
        <f>'Dados Detalhados'!$L$285</f>
        <v>3696.08</v>
      </c>
      <c r="L19" s="43">
        <v>0</v>
      </c>
      <c r="M19" s="43">
        <v>0</v>
      </c>
      <c r="N19" s="43">
        <v>0</v>
      </c>
      <c r="O19" s="78">
        <f t="shared" si="0"/>
        <v>3696.08</v>
      </c>
      <c r="P19" s="78">
        <f t="shared" si="1"/>
        <v>3696.08</v>
      </c>
      <c r="Q19" s="78"/>
      <c r="R19" s="78"/>
      <c r="S19" s="78"/>
      <c r="T19" s="78"/>
      <c r="U19" s="78"/>
      <c r="V19" s="78"/>
    </row>
    <row r="20" spans="1:22" ht="52.5" customHeight="1">
      <c r="A20" s="12">
        <v>16</v>
      </c>
      <c r="B20" s="10" t="s">
        <v>238</v>
      </c>
      <c r="C20" s="14" t="s">
        <v>237</v>
      </c>
      <c r="D20" s="6">
        <v>2</v>
      </c>
      <c r="E20" s="8" t="s">
        <v>144</v>
      </c>
      <c r="F20" s="8">
        <v>1</v>
      </c>
      <c r="G20" s="66" t="s">
        <v>397</v>
      </c>
      <c r="H20" s="5" t="s">
        <v>332</v>
      </c>
      <c r="I20" s="28" t="s">
        <v>184</v>
      </c>
      <c r="J20" s="42">
        <v>0</v>
      </c>
      <c r="K20" s="47">
        <v>0</v>
      </c>
      <c r="L20" s="43">
        <f>'Dados Detalhados'!$L$300</f>
        <v>60152</v>
      </c>
      <c r="M20" s="43">
        <v>0</v>
      </c>
      <c r="N20" s="43">
        <v>0</v>
      </c>
      <c r="O20" s="78">
        <f t="shared" si="0"/>
        <v>60152</v>
      </c>
      <c r="P20" s="78"/>
      <c r="Q20" s="78"/>
      <c r="R20" s="78"/>
      <c r="S20" s="78"/>
      <c r="T20" s="78"/>
      <c r="U20" s="78"/>
      <c r="V20" s="78">
        <f t="shared" si="3"/>
        <v>60152</v>
      </c>
    </row>
    <row r="21" spans="1:22" ht="52.5" customHeight="1">
      <c r="A21" s="12">
        <v>17</v>
      </c>
      <c r="B21" s="10" t="s">
        <v>236</v>
      </c>
      <c r="C21" s="14" t="s">
        <v>235</v>
      </c>
      <c r="D21" s="6">
        <v>1</v>
      </c>
      <c r="E21" s="8" t="s">
        <v>144</v>
      </c>
      <c r="F21" s="8">
        <v>1</v>
      </c>
      <c r="G21" s="66" t="s">
        <v>397</v>
      </c>
      <c r="H21" s="5" t="s">
        <v>332</v>
      </c>
      <c r="I21" s="28" t="s">
        <v>184</v>
      </c>
      <c r="J21" s="42">
        <v>0</v>
      </c>
      <c r="K21" s="47">
        <v>0</v>
      </c>
      <c r="L21" s="43">
        <f>'Dados Detalhados'!$L$305</f>
        <v>10376</v>
      </c>
      <c r="M21" s="43">
        <v>0</v>
      </c>
      <c r="N21" s="43">
        <v>0</v>
      </c>
      <c r="O21" s="78">
        <f t="shared" si="0"/>
        <v>10376</v>
      </c>
      <c r="P21" s="78"/>
      <c r="Q21" s="78"/>
      <c r="R21" s="78"/>
      <c r="S21" s="78"/>
      <c r="T21" s="78"/>
      <c r="U21" s="78"/>
      <c r="V21" s="78">
        <f t="shared" si="3"/>
        <v>10376</v>
      </c>
    </row>
    <row r="22" spans="1:22" ht="52.5" customHeight="1">
      <c r="A22" s="12">
        <v>18</v>
      </c>
      <c r="B22" s="10" t="s">
        <v>234</v>
      </c>
      <c r="C22" s="14" t="s">
        <v>233</v>
      </c>
      <c r="D22" s="6">
        <v>1</v>
      </c>
      <c r="E22" s="8" t="s">
        <v>389</v>
      </c>
      <c r="F22" s="8">
        <v>2</v>
      </c>
      <c r="G22" s="66" t="s">
        <v>400</v>
      </c>
      <c r="H22" s="5" t="s">
        <v>332</v>
      </c>
      <c r="I22" s="28" t="s">
        <v>184</v>
      </c>
      <c r="J22" s="42">
        <v>0</v>
      </c>
      <c r="K22" s="47">
        <v>0</v>
      </c>
      <c r="L22" s="43">
        <f>'Dados Detalhados'!$L$310</f>
        <v>38152</v>
      </c>
      <c r="M22" s="43">
        <f>'Dados Detalhados'!$L$310</f>
        <v>38152</v>
      </c>
      <c r="N22" s="43">
        <v>0</v>
      </c>
      <c r="O22" s="78">
        <f t="shared" si="0"/>
        <v>76304</v>
      </c>
      <c r="P22" s="78"/>
      <c r="Q22" s="78"/>
      <c r="R22" s="78"/>
      <c r="S22" s="78"/>
      <c r="T22" s="78"/>
      <c r="U22" s="78"/>
      <c r="V22" s="78">
        <f t="shared" si="3"/>
        <v>76304</v>
      </c>
    </row>
    <row r="23" spans="1:22" ht="52.5" customHeight="1">
      <c r="A23" s="12">
        <v>19</v>
      </c>
      <c r="B23" s="10" t="s">
        <v>232</v>
      </c>
      <c r="C23" s="14" t="s">
        <v>231</v>
      </c>
      <c r="D23" s="6">
        <v>1</v>
      </c>
      <c r="E23" s="8" t="s">
        <v>144</v>
      </c>
      <c r="F23" s="8">
        <v>1</v>
      </c>
      <c r="G23" s="66" t="s">
        <v>399</v>
      </c>
      <c r="H23" s="5" t="s">
        <v>332</v>
      </c>
      <c r="I23" s="28" t="s">
        <v>184</v>
      </c>
      <c r="J23" s="42">
        <v>0</v>
      </c>
      <c r="K23" s="43">
        <v>0</v>
      </c>
      <c r="L23" s="224">
        <f>'Dados Detalhados'!$L$315</f>
        <v>20752</v>
      </c>
      <c r="M23" s="43"/>
      <c r="N23" s="43">
        <v>0</v>
      </c>
      <c r="O23" s="78">
        <f t="shared" si="0"/>
        <v>20752</v>
      </c>
      <c r="P23" s="78">
        <f t="shared" si="1"/>
        <v>20752</v>
      </c>
      <c r="Q23" s="78"/>
      <c r="R23" s="78"/>
      <c r="S23" s="78"/>
      <c r="T23" s="78"/>
      <c r="U23" s="78"/>
      <c r="V23" s="78"/>
    </row>
    <row r="24" spans="1:22" ht="52.5" customHeight="1">
      <c r="A24" s="12">
        <v>20</v>
      </c>
      <c r="B24" s="10" t="s">
        <v>230</v>
      </c>
      <c r="C24" s="14" t="s">
        <v>229</v>
      </c>
      <c r="D24" s="6">
        <v>1</v>
      </c>
      <c r="E24" s="8" t="s">
        <v>144</v>
      </c>
      <c r="F24" s="8">
        <v>1</v>
      </c>
      <c r="G24" s="66" t="s">
        <v>399</v>
      </c>
      <c r="H24" s="5" t="s">
        <v>332</v>
      </c>
      <c r="I24" s="28" t="s">
        <v>184</v>
      </c>
      <c r="J24" s="42">
        <v>0</v>
      </c>
      <c r="K24" s="47">
        <v>0</v>
      </c>
      <c r="L24" s="224">
        <f>'Dados Detalhados'!$L$320</f>
        <v>4103.0599999999995</v>
      </c>
      <c r="M24" s="43">
        <v>0</v>
      </c>
      <c r="N24" s="43">
        <v>0</v>
      </c>
      <c r="O24" s="78">
        <f t="shared" si="0"/>
        <v>4103.0599999999995</v>
      </c>
      <c r="P24" s="78">
        <f t="shared" si="1"/>
        <v>4103.0599999999995</v>
      </c>
      <c r="Q24" s="78"/>
      <c r="R24" s="78"/>
      <c r="S24" s="78"/>
      <c r="T24" s="78"/>
      <c r="U24" s="78"/>
      <c r="V24" s="78"/>
    </row>
    <row r="25" spans="1:22" ht="58.5" customHeight="1">
      <c r="A25" s="12">
        <v>21</v>
      </c>
      <c r="B25" s="10" t="s">
        <v>228</v>
      </c>
      <c r="C25" s="14" t="s">
        <v>227</v>
      </c>
      <c r="D25" s="6">
        <v>2</v>
      </c>
      <c r="E25" s="8" t="s">
        <v>144</v>
      </c>
      <c r="F25" s="8">
        <v>1</v>
      </c>
      <c r="G25" s="66" t="s">
        <v>399</v>
      </c>
      <c r="H25" s="5" t="s">
        <v>332</v>
      </c>
      <c r="I25" s="28" t="s">
        <v>184</v>
      </c>
      <c r="J25" s="42"/>
      <c r="K25" s="47"/>
      <c r="L25" s="43"/>
      <c r="M25" s="43"/>
      <c r="N25" s="43">
        <f>'Dados Detalhados'!$L$320</f>
        <v>4103.0599999999995</v>
      </c>
      <c r="O25" s="78">
        <f t="shared" si="0"/>
        <v>4103.0599999999995</v>
      </c>
      <c r="P25" s="78"/>
      <c r="Q25" s="78"/>
      <c r="R25" s="78"/>
      <c r="S25" s="78"/>
      <c r="T25" s="78"/>
      <c r="U25" s="78"/>
      <c r="V25" s="78">
        <f t="shared" si="3"/>
        <v>4103.0599999999995</v>
      </c>
    </row>
    <row r="26" spans="1:22" ht="52.5" customHeight="1">
      <c r="A26" s="12">
        <v>22</v>
      </c>
      <c r="B26" s="10" t="s">
        <v>226</v>
      </c>
      <c r="C26" s="14" t="s">
        <v>225</v>
      </c>
      <c r="D26" s="6">
        <v>1</v>
      </c>
      <c r="E26" s="8" t="s">
        <v>144</v>
      </c>
      <c r="F26" s="8">
        <v>1</v>
      </c>
      <c r="G26" s="66" t="s">
        <v>397</v>
      </c>
      <c r="H26" s="5" t="s">
        <v>331</v>
      </c>
      <c r="I26" s="28" t="s">
        <v>184</v>
      </c>
      <c r="J26" s="48">
        <f>'Dados Detalhados'!$L$352</f>
        <v>185</v>
      </c>
      <c r="K26" s="47">
        <v>0</v>
      </c>
      <c r="L26" s="43">
        <v>0</v>
      </c>
      <c r="M26" s="43">
        <v>0</v>
      </c>
      <c r="N26" s="43">
        <v>0</v>
      </c>
      <c r="O26" s="78">
        <f t="shared" si="0"/>
        <v>185</v>
      </c>
      <c r="P26" s="78"/>
      <c r="Q26" s="78"/>
      <c r="R26" s="78"/>
      <c r="S26" s="78"/>
      <c r="T26" s="78">
        <f t="shared" si="4"/>
        <v>185</v>
      </c>
      <c r="U26" s="78"/>
      <c r="V26" s="78"/>
    </row>
    <row r="27" spans="1:22" ht="52.5" customHeight="1">
      <c r="A27" s="12">
        <v>23</v>
      </c>
      <c r="B27" s="10" t="s">
        <v>2</v>
      </c>
      <c r="C27" s="10" t="s">
        <v>224</v>
      </c>
      <c r="D27" s="6">
        <v>3</v>
      </c>
      <c r="E27" s="8" t="s">
        <v>144</v>
      </c>
      <c r="F27" s="8">
        <v>1</v>
      </c>
      <c r="G27" s="66" t="s">
        <v>397</v>
      </c>
      <c r="H27" s="5" t="s">
        <v>330</v>
      </c>
      <c r="I27" s="28" t="s">
        <v>184</v>
      </c>
      <c r="J27" s="224">
        <f>'Dados Detalhados'!$L$355</f>
        <v>366.67</v>
      </c>
      <c r="K27" s="224">
        <f>'Dados Detalhados'!$L$355</f>
        <v>366.67</v>
      </c>
      <c r="L27" s="224">
        <f>'Dados Detalhados'!$L$355</f>
        <v>366.67</v>
      </c>
      <c r="M27" s="224">
        <f>'Dados Detalhados'!$L$355</f>
        <v>366.67</v>
      </c>
      <c r="N27" s="224">
        <f>'Dados Detalhados'!$L$355</f>
        <v>366.67</v>
      </c>
      <c r="O27" s="78">
        <f>J27+K27+L27+M27+N27</f>
        <v>1833.3500000000001</v>
      </c>
      <c r="P27" s="78">
        <f t="shared" si="1"/>
        <v>1833.3500000000001</v>
      </c>
      <c r="Q27" s="78"/>
      <c r="R27" s="78"/>
      <c r="S27" s="78"/>
      <c r="T27" s="78"/>
      <c r="U27" s="78"/>
      <c r="V27" s="78"/>
    </row>
    <row r="28" spans="1:22" ht="52.5" customHeight="1">
      <c r="A28" s="12">
        <v>24</v>
      </c>
      <c r="B28" s="10" t="s">
        <v>223</v>
      </c>
      <c r="C28" s="10" t="s">
        <v>222</v>
      </c>
      <c r="D28" s="6">
        <v>1</v>
      </c>
      <c r="E28" s="8" t="s">
        <v>144</v>
      </c>
      <c r="F28" s="8">
        <v>1</v>
      </c>
      <c r="G28" s="66" t="s">
        <v>397</v>
      </c>
      <c r="H28" s="5"/>
      <c r="I28" s="28" t="s">
        <v>184</v>
      </c>
      <c r="J28" s="224">
        <f>'Dados Detalhados'!$L$360</f>
        <v>1450</v>
      </c>
      <c r="K28" s="224">
        <f>'Dados Detalhados'!$L$360</f>
        <v>1450</v>
      </c>
      <c r="L28" s="224">
        <f>'Dados Detalhados'!$L$360</f>
        <v>1450</v>
      </c>
      <c r="M28" s="224">
        <f>'Dados Detalhados'!$L$360</f>
        <v>1450</v>
      </c>
      <c r="N28" s="224">
        <v>5426</v>
      </c>
      <c r="O28" s="78">
        <f t="shared" si="0"/>
        <v>11226</v>
      </c>
      <c r="P28" s="78">
        <f t="shared" si="1"/>
        <v>11226</v>
      </c>
      <c r="Q28" s="78"/>
      <c r="R28" s="78"/>
      <c r="S28" s="78"/>
      <c r="T28" s="78"/>
      <c r="U28" s="78"/>
      <c r="V28" s="78"/>
    </row>
    <row r="29" spans="1:22" ht="52.5" customHeight="1">
      <c r="A29" s="12">
        <v>25</v>
      </c>
      <c r="B29" s="10" t="s">
        <v>221</v>
      </c>
      <c r="C29" s="18" t="s">
        <v>220</v>
      </c>
      <c r="D29" s="6">
        <v>1</v>
      </c>
      <c r="E29" s="8" t="s">
        <v>144</v>
      </c>
      <c r="F29" s="8">
        <v>1</v>
      </c>
      <c r="G29" s="66" t="s">
        <v>398</v>
      </c>
      <c r="H29" s="5" t="s">
        <v>329</v>
      </c>
      <c r="I29" s="28" t="s">
        <v>184</v>
      </c>
      <c r="J29" s="42">
        <f>'Dados Detalhados'!$L$368</f>
        <v>5904.7700000000013</v>
      </c>
      <c r="K29" s="42">
        <f>'Dados Detalhados'!$L$368</f>
        <v>5904.7700000000013</v>
      </c>
      <c r="L29" s="42">
        <f>'Dados Detalhados'!$L$368</f>
        <v>5904.7700000000013</v>
      </c>
      <c r="M29" s="42">
        <f>'Dados Detalhados'!$L$368</f>
        <v>5904.7700000000013</v>
      </c>
      <c r="N29" s="42">
        <f>'Dados Detalhados'!$L$368</f>
        <v>5904.7700000000013</v>
      </c>
      <c r="O29" s="78">
        <f t="shared" si="0"/>
        <v>29523.850000000006</v>
      </c>
      <c r="P29" s="78"/>
      <c r="Q29" s="78"/>
      <c r="R29" s="78"/>
      <c r="S29" s="78"/>
      <c r="T29" s="78"/>
      <c r="U29" s="78"/>
      <c r="V29" s="78">
        <f t="shared" si="3"/>
        <v>29523.850000000006</v>
      </c>
    </row>
    <row r="30" spans="1:22" ht="52.5" customHeight="1">
      <c r="A30" s="12">
        <v>26</v>
      </c>
      <c r="B30" s="11" t="s">
        <v>219</v>
      </c>
      <c r="C30" s="1" t="s">
        <v>889</v>
      </c>
      <c r="D30" s="151">
        <v>1</v>
      </c>
      <c r="E30" s="33" t="s">
        <v>144</v>
      </c>
      <c r="F30" s="8">
        <v>1</v>
      </c>
      <c r="G30" s="66" t="s">
        <v>398</v>
      </c>
      <c r="H30" s="5"/>
      <c r="I30" s="28" t="s">
        <v>184</v>
      </c>
      <c r="J30" s="224">
        <f>'Dados Detalhados'!$L$395</f>
        <v>5074.08</v>
      </c>
      <c r="K30" s="224">
        <f>'Dados Detalhados'!$L$395</f>
        <v>5074.08</v>
      </c>
      <c r="L30" s="224">
        <f>'Dados Detalhados'!$L$395</f>
        <v>5074.08</v>
      </c>
      <c r="M30" s="224">
        <f>'Dados Detalhados'!$L$395</f>
        <v>5074.08</v>
      </c>
      <c r="N30" s="224">
        <f>'Dados Detalhados'!$L$395</f>
        <v>5074.08</v>
      </c>
      <c r="O30" s="78">
        <f t="shared" si="0"/>
        <v>25370.400000000001</v>
      </c>
      <c r="P30" s="78">
        <f t="shared" si="1"/>
        <v>25370.400000000001</v>
      </c>
      <c r="Q30" s="78"/>
      <c r="R30" s="78"/>
      <c r="S30" s="78"/>
      <c r="T30" s="78"/>
      <c r="U30" s="78"/>
      <c r="V30" s="78"/>
    </row>
    <row r="31" spans="1:22" ht="52.5" customHeight="1">
      <c r="A31" s="217" t="s">
        <v>890</v>
      </c>
      <c r="B31" s="51" t="s">
        <v>891</v>
      </c>
      <c r="C31" s="20" t="s">
        <v>892</v>
      </c>
      <c r="D31" s="212">
        <v>1</v>
      </c>
      <c r="E31" s="19" t="s">
        <v>144</v>
      </c>
      <c r="F31" s="19">
        <v>1</v>
      </c>
      <c r="G31" s="213" t="s">
        <v>398</v>
      </c>
      <c r="H31" s="216"/>
      <c r="I31" s="31"/>
      <c r="J31" s="214"/>
      <c r="K31" s="48">
        <f>'Dados Detalhados'!L399</f>
        <v>65308.936739930832</v>
      </c>
      <c r="L31" s="48">
        <f>'Dados Detalhados'!L400</f>
        <v>70573.580274461681</v>
      </c>
      <c r="M31" s="48">
        <f>'Dados Detalhados'!H401</f>
        <v>78101.305366506771</v>
      </c>
      <c r="N31" s="48">
        <f>'Dados Detalhados'!H402</f>
        <v>85911.435903157457</v>
      </c>
      <c r="O31" s="215">
        <f t="shared" si="0"/>
        <v>299895.25828405673</v>
      </c>
      <c r="P31" s="78"/>
      <c r="Q31" s="78"/>
      <c r="R31" s="78"/>
      <c r="S31" s="78"/>
      <c r="T31" s="78">
        <f t="shared" si="4"/>
        <v>299895.25828405673</v>
      </c>
      <c r="U31" s="215"/>
      <c r="V31" s="78"/>
    </row>
    <row r="32" spans="1:22" ht="52.5" customHeight="1">
      <c r="A32" s="12">
        <v>27</v>
      </c>
      <c r="B32" s="10" t="s">
        <v>218</v>
      </c>
      <c r="C32" s="18" t="s">
        <v>217</v>
      </c>
      <c r="D32" s="6">
        <v>1</v>
      </c>
      <c r="E32" s="8" t="s">
        <v>144</v>
      </c>
      <c r="F32" s="8">
        <v>1</v>
      </c>
      <c r="G32" s="66" t="s">
        <v>398</v>
      </c>
      <c r="H32" s="5"/>
      <c r="I32" s="28" t="s">
        <v>184</v>
      </c>
      <c r="J32" s="224">
        <f>'Dados Detalhados'!$L$403</f>
        <v>6306.48</v>
      </c>
      <c r="K32" s="224">
        <f>'Dados Detalhados'!$L$403</f>
        <v>6306.48</v>
      </c>
      <c r="L32" s="224">
        <f>'Dados Detalhados'!$L$403</f>
        <v>6306.48</v>
      </c>
      <c r="M32" s="224">
        <f>'Dados Detalhados'!$L$403</f>
        <v>6306.48</v>
      </c>
      <c r="N32" s="224">
        <f>'Dados Detalhados'!$L$403</f>
        <v>6306.48</v>
      </c>
      <c r="O32" s="78">
        <f t="shared" si="0"/>
        <v>31532.399999999998</v>
      </c>
      <c r="P32" s="78">
        <f t="shared" si="1"/>
        <v>31532.399999999998</v>
      </c>
      <c r="Q32" s="78"/>
      <c r="R32" s="78"/>
      <c r="S32" s="78"/>
      <c r="T32" s="78"/>
      <c r="U32" s="78"/>
      <c r="V32" s="78"/>
    </row>
    <row r="33" spans="1:22" ht="52.5" customHeight="1">
      <c r="A33" s="12">
        <v>28</v>
      </c>
      <c r="B33" s="10" t="s">
        <v>215</v>
      </c>
      <c r="C33" s="18" t="s">
        <v>214</v>
      </c>
      <c r="D33" s="6">
        <v>1</v>
      </c>
      <c r="E33" s="8" t="s">
        <v>144</v>
      </c>
      <c r="F33" s="8">
        <v>1</v>
      </c>
      <c r="G33" s="66" t="s">
        <v>398</v>
      </c>
      <c r="H33" s="5"/>
      <c r="I33" s="28" t="s">
        <v>184</v>
      </c>
      <c r="J33" s="224">
        <f>'Dados Detalhados'!$L$406</f>
        <v>8320</v>
      </c>
      <c r="K33" s="224">
        <f>'Dados Detalhados'!$L$406</f>
        <v>8320</v>
      </c>
      <c r="L33" s="224">
        <f>'Dados Detalhados'!$L$406</f>
        <v>8320</v>
      </c>
      <c r="M33" s="224">
        <f>'Dados Detalhados'!$L$406</f>
        <v>8320</v>
      </c>
      <c r="N33" s="224">
        <f>'Dados Detalhados'!$L$406</f>
        <v>8320</v>
      </c>
      <c r="O33" s="78">
        <f t="shared" si="0"/>
        <v>41600</v>
      </c>
      <c r="P33" s="78">
        <f t="shared" si="1"/>
        <v>41600</v>
      </c>
      <c r="Q33" s="78"/>
      <c r="R33" s="78"/>
      <c r="S33" s="78"/>
      <c r="T33" s="78"/>
      <c r="U33" s="78"/>
      <c r="V33" s="78"/>
    </row>
    <row r="34" spans="1:22" ht="52.5" customHeight="1">
      <c r="A34" s="12">
        <v>29</v>
      </c>
      <c r="B34" s="10" t="s">
        <v>213</v>
      </c>
      <c r="C34" s="14" t="s">
        <v>212</v>
      </c>
      <c r="D34" s="6">
        <v>1</v>
      </c>
      <c r="E34" s="8" t="s">
        <v>144</v>
      </c>
      <c r="F34" s="8">
        <v>1</v>
      </c>
      <c r="G34" s="66" t="s">
        <v>398</v>
      </c>
      <c r="H34" s="5"/>
      <c r="I34" s="28" t="s">
        <v>184</v>
      </c>
      <c r="J34" s="42">
        <v>0</v>
      </c>
      <c r="K34" s="43">
        <v>0</v>
      </c>
      <c r="L34" s="224">
        <f>'Dados Detalhados'!$L$409</f>
        <v>32240</v>
      </c>
      <c r="M34" s="43">
        <v>0</v>
      </c>
      <c r="N34" s="43">
        <v>0</v>
      </c>
      <c r="O34" s="78">
        <f t="shared" si="0"/>
        <v>32240</v>
      </c>
      <c r="P34" s="78">
        <f t="shared" si="1"/>
        <v>32240</v>
      </c>
      <c r="Q34" s="78"/>
      <c r="R34" s="78"/>
      <c r="S34" s="78"/>
      <c r="T34" s="78"/>
      <c r="U34" s="78"/>
      <c r="V34" s="78"/>
    </row>
    <row r="35" spans="1:22" ht="58.5" customHeight="1">
      <c r="A35" s="12">
        <v>30</v>
      </c>
      <c r="B35" s="10" t="s">
        <v>211</v>
      </c>
      <c r="C35" s="14" t="s">
        <v>210</v>
      </c>
      <c r="D35" s="6">
        <v>1</v>
      </c>
      <c r="E35" s="8" t="s">
        <v>144</v>
      </c>
      <c r="F35" s="8">
        <v>1</v>
      </c>
      <c r="G35" s="66" t="s">
        <v>398</v>
      </c>
      <c r="H35" s="5"/>
      <c r="I35" s="28" t="s">
        <v>184</v>
      </c>
      <c r="J35" s="42">
        <v>0</v>
      </c>
      <c r="K35" s="47">
        <v>0</v>
      </c>
      <c r="L35" s="224">
        <f>'Dados Detalhados'!$L$412</f>
        <v>23611.11</v>
      </c>
      <c r="M35" s="43">
        <v>0</v>
      </c>
      <c r="N35" s="43">
        <v>0</v>
      </c>
      <c r="O35" s="78">
        <f t="shared" si="0"/>
        <v>23611.11</v>
      </c>
      <c r="P35" s="78">
        <f t="shared" si="1"/>
        <v>23611.11</v>
      </c>
      <c r="Q35" s="78"/>
      <c r="R35" s="78"/>
      <c r="S35" s="78"/>
      <c r="T35" s="78"/>
      <c r="U35" s="78"/>
      <c r="V35" s="78"/>
    </row>
    <row r="36" spans="1:22" ht="52.5" customHeight="1">
      <c r="A36" s="12">
        <v>31</v>
      </c>
      <c r="B36" s="14" t="s">
        <v>209</v>
      </c>
      <c r="C36" s="18" t="s">
        <v>208</v>
      </c>
      <c r="D36" s="6">
        <v>2</v>
      </c>
      <c r="E36" s="8" t="s">
        <v>144</v>
      </c>
      <c r="F36" s="8">
        <v>1</v>
      </c>
      <c r="G36" s="66" t="s">
        <v>398</v>
      </c>
      <c r="H36" s="5"/>
      <c r="I36" s="28" t="s">
        <v>184</v>
      </c>
      <c r="J36" s="42">
        <f>'Dados Detalhados'!$L$417</f>
        <v>1284</v>
      </c>
      <c r="K36" s="42">
        <f>'Dados Detalhados'!$L$417</f>
        <v>1284</v>
      </c>
      <c r="L36" s="42">
        <f>'Dados Detalhados'!$L$417</f>
        <v>1284</v>
      </c>
      <c r="M36" s="42">
        <f>'Dados Detalhados'!$L$417</f>
        <v>1284</v>
      </c>
      <c r="N36" s="42">
        <f>'Dados Detalhados'!$L$417</f>
        <v>1284</v>
      </c>
      <c r="O36" s="78">
        <f t="shared" si="0"/>
        <v>6420</v>
      </c>
      <c r="P36" s="78"/>
      <c r="Q36" s="78"/>
      <c r="R36" s="78"/>
      <c r="S36" s="78"/>
      <c r="T36" s="78"/>
      <c r="U36" s="78"/>
      <c r="V36" s="78">
        <f t="shared" si="3"/>
        <v>6420</v>
      </c>
    </row>
    <row r="37" spans="1:22" ht="52.5" customHeight="1">
      <c r="A37" s="12">
        <v>32</v>
      </c>
      <c r="B37" s="10" t="s">
        <v>207</v>
      </c>
      <c r="C37" s="14" t="s">
        <v>206</v>
      </c>
      <c r="D37" s="6">
        <v>1</v>
      </c>
      <c r="E37" s="8" t="s">
        <v>144</v>
      </c>
      <c r="F37" s="8">
        <v>1</v>
      </c>
      <c r="G37" s="66" t="s">
        <v>399</v>
      </c>
      <c r="H37" s="5"/>
      <c r="I37" s="28" t="s">
        <v>184</v>
      </c>
      <c r="J37" s="42">
        <v>0</v>
      </c>
      <c r="K37" s="47">
        <v>0</v>
      </c>
      <c r="L37" s="224">
        <f>'Dados Detalhados'!$L$419</f>
        <v>7000</v>
      </c>
      <c r="M37" s="43">
        <v>0</v>
      </c>
      <c r="N37" s="43">
        <v>0</v>
      </c>
      <c r="O37" s="78">
        <f t="shared" si="0"/>
        <v>7000</v>
      </c>
      <c r="P37" s="78">
        <f>+O37</f>
        <v>7000</v>
      </c>
      <c r="Q37" s="78"/>
      <c r="R37" s="78"/>
      <c r="S37" s="78"/>
      <c r="T37" s="78"/>
      <c r="U37" s="78"/>
      <c r="V37" s="78"/>
    </row>
    <row r="38" spans="1:22" ht="52.5" customHeight="1">
      <c r="A38" s="12">
        <v>33</v>
      </c>
      <c r="B38" s="10" t="s">
        <v>205</v>
      </c>
      <c r="C38" s="14" t="s">
        <v>204</v>
      </c>
      <c r="D38" s="6">
        <v>1</v>
      </c>
      <c r="E38" s="8" t="s">
        <v>144</v>
      </c>
      <c r="F38" s="8">
        <v>1</v>
      </c>
      <c r="G38" s="66" t="s">
        <v>399</v>
      </c>
      <c r="H38" s="5"/>
      <c r="I38" s="28" t="s">
        <v>184</v>
      </c>
      <c r="J38" s="42"/>
      <c r="K38" s="47">
        <v>0</v>
      </c>
      <c r="L38" s="224">
        <f>'Dados Detalhados'!$L$421</f>
        <v>5100</v>
      </c>
      <c r="M38" s="43"/>
      <c r="N38" s="43">
        <f>'Dados Detalhados'!$L$421</f>
        <v>5100</v>
      </c>
      <c r="O38" s="78">
        <f t="shared" si="0"/>
        <v>10200</v>
      </c>
      <c r="P38" s="78">
        <f t="shared" si="1"/>
        <v>10200</v>
      </c>
      <c r="Q38" s="78"/>
      <c r="R38" s="78"/>
      <c r="S38" s="78"/>
      <c r="T38" s="78"/>
      <c r="U38" s="78"/>
      <c r="V38" s="78"/>
    </row>
    <row r="39" spans="1:22" ht="52.5" customHeight="1">
      <c r="A39" s="12">
        <v>34</v>
      </c>
      <c r="B39" s="10" t="s">
        <v>203</v>
      </c>
      <c r="C39" s="14" t="s">
        <v>202</v>
      </c>
      <c r="D39" s="6">
        <v>1</v>
      </c>
      <c r="E39" s="8" t="s">
        <v>144</v>
      </c>
      <c r="F39" s="8">
        <v>1</v>
      </c>
      <c r="G39" s="66" t="s">
        <v>399</v>
      </c>
      <c r="H39" s="5"/>
      <c r="I39" s="28" t="s">
        <v>184</v>
      </c>
      <c r="J39" s="42"/>
      <c r="K39" s="47"/>
      <c r="L39" s="224">
        <f>'Dados Detalhados'!$L$423</f>
        <v>700</v>
      </c>
      <c r="M39" s="43">
        <f>'Dados Detalhados'!$L$423</f>
        <v>700</v>
      </c>
      <c r="N39" s="43">
        <f>'Dados Detalhados'!$L$423</f>
        <v>700</v>
      </c>
      <c r="O39" s="78">
        <f t="shared" si="0"/>
        <v>2100</v>
      </c>
      <c r="P39" s="78">
        <f t="shared" si="1"/>
        <v>2100</v>
      </c>
      <c r="Q39" s="78"/>
      <c r="R39" s="78"/>
      <c r="S39" s="78"/>
      <c r="T39" s="78"/>
      <c r="U39" s="78"/>
      <c r="V39" s="78"/>
    </row>
    <row r="40" spans="1:22" ht="67.5" customHeight="1">
      <c r="A40" s="12">
        <v>35</v>
      </c>
      <c r="B40" s="10" t="s">
        <v>200</v>
      </c>
      <c r="C40" s="14" t="s">
        <v>199</v>
      </c>
      <c r="D40" s="6"/>
      <c r="E40" s="8" t="s">
        <v>144</v>
      </c>
      <c r="F40" s="8">
        <v>1</v>
      </c>
      <c r="G40" s="66" t="s">
        <v>398</v>
      </c>
      <c r="H40" s="5"/>
      <c r="I40" s="28" t="s">
        <v>184</v>
      </c>
      <c r="J40" s="224">
        <f>'Dados Detalhados'!$L$425</f>
        <v>28333.4</v>
      </c>
      <c r="K40" s="47">
        <v>0</v>
      </c>
      <c r="L40" s="43">
        <v>0</v>
      </c>
      <c r="M40" s="43">
        <v>0</v>
      </c>
      <c r="N40" s="43">
        <v>0</v>
      </c>
      <c r="O40" s="78">
        <f t="shared" si="0"/>
        <v>28333.4</v>
      </c>
      <c r="P40" s="78">
        <f t="shared" si="1"/>
        <v>28333.4</v>
      </c>
      <c r="Q40" s="78"/>
      <c r="R40" s="78"/>
      <c r="S40" s="78"/>
      <c r="T40" s="78"/>
      <c r="U40" s="78"/>
      <c r="V40" s="78"/>
    </row>
    <row r="41" spans="1:22" ht="52.5" customHeight="1">
      <c r="A41" s="12">
        <v>36</v>
      </c>
      <c r="B41" s="10" t="s">
        <v>198</v>
      </c>
      <c r="C41" s="14" t="s">
        <v>197</v>
      </c>
      <c r="D41" s="6">
        <v>3</v>
      </c>
      <c r="E41" s="8" t="s">
        <v>144</v>
      </c>
      <c r="F41" s="8">
        <v>1</v>
      </c>
      <c r="G41" s="66" t="s">
        <v>397</v>
      </c>
      <c r="H41" s="5"/>
      <c r="I41" s="28" t="s">
        <v>184</v>
      </c>
      <c r="J41" s="42">
        <v>0</v>
      </c>
      <c r="K41" s="47">
        <v>0</v>
      </c>
      <c r="L41" s="43">
        <f>'Dados Detalhados'!$L$428</f>
        <v>16825</v>
      </c>
      <c r="M41" s="43">
        <v>0</v>
      </c>
      <c r="N41" s="43">
        <v>0</v>
      </c>
      <c r="O41" s="78">
        <f t="shared" si="0"/>
        <v>16825</v>
      </c>
      <c r="P41" s="78"/>
      <c r="Q41" s="78"/>
      <c r="R41" s="78"/>
      <c r="S41" s="78"/>
      <c r="T41" s="78"/>
      <c r="U41" s="78"/>
      <c r="V41" s="78">
        <f t="shared" si="3"/>
        <v>16825</v>
      </c>
    </row>
    <row r="42" spans="1:22" ht="52.5" customHeight="1">
      <c r="A42" s="12">
        <v>37</v>
      </c>
      <c r="B42" s="27" t="s">
        <v>196</v>
      </c>
      <c r="C42" s="14" t="s">
        <v>195</v>
      </c>
      <c r="D42" s="6">
        <v>1</v>
      </c>
      <c r="E42" s="8" t="s">
        <v>144</v>
      </c>
      <c r="F42" s="8">
        <v>1</v>
      </c>
      <c r="G42" s="66" t="s">
        <v>397</v>
      </c>
      <c r="H42" s="5" t="s">
        <v>328</v>
      </c>
      <c r="I42" s="28" t="s">
        <v>184</v>
      </c>
      <c r="J42" s="224">
        <f>'Dados Detalhados'!$L$433</f>
        <v>2313.6899999999996</v>
      </c>
      <c r="K42" s="224">
        <f>'Dados Detalhados'!$L$433</f>
        <v>2313.6899999999996</v>
      </c>
      <c r="L42" s="224">
        <f>'Dados Detalhados'!$L$433</f>
        <v>2313.6899999999996</v>
      </c>
      <c r="M42" s="224">
        <f>'Dados Detalhados'!$L$433</f>
        <v>2313.6899999999996</v>
      </c>
      <c r="N42" s="224">
        <f>'Dados Detalhados'!$L$433</f>
        <v>2313.6899999999996</v>
      </c>
      <c r="O42" s="78">
        <f t="shared" si="0"/>
        <v>11568.449999999997</v>
      </c>
      <c r="P42" s="78">
        <f t="shared" si="1"/>
        <v>11568.449999999997</v>
      </c>
      <c r="Q42" s="78"/>
      <c r="R42" s="78"/>
      <c r="S42" s="78"/>
      <c r="T42" s="78"/>
      <c r="U42" s="78"/>
      <c r="V42" s="78"/>
    </row>
    <row r="43" spans="1:22" ht="52.5" customHeight="1">
      <c r="A43" s="12">
        <v>38</v>
      </c>
      <c r="B43" s="10" t="s">
        <v>194</v>
      </c>
      <c r="C43" s="14" t="s">
        <v>193</v>
      </c>
      <c r="D43" s="6">
        <v>1</v>
      </c>
      <c r="E43" s="8" t="s">
        <v>144</v>
      </c>
      <c r="F43" s="8">
        <v>1</v>
      </c>
      <c r="G43" s="66" t="s">
        <v>398</v>
      </c>
      <c r="H43" s="5"/>
      <c r="I43" s="28" t="s">
        <v>184</v>
      </c>
      <c r="J43" s="224">
        <f>'Dados Detalhados'!$L$450</f>
        <v>1713.6</v>
      </c>
      <c r="K43" s="224">
        <f>'Dados Detalhados'!$L$450</f>
        <v>1713.6</v>
      </c>
      <c r="L43" s="224">
        <f>'Dados Detalhados'!$L$450</f>
        <v>1713.6</v>
      </c>
      <c r="M43" s="224">
        <f>'Dados Detalhados'!$L$450</f>
        <v>1713.6</v>
      </c>
      <c r="N43" s="224">
        <f>'Dados Detalhados'!$L$450</f>
        <v>1713.6</v>
      </c>
      <c r="O43" s="78">
        <f t="shared" si="0"/>
        <v>8568</v>
      </c>
      <c r="P43" s="78">
        <f t="shared" si="1"/>
        <v>8568</v>
      </c>
      <c r="Q43" s="78"/>
      <c r="R43" s="78"/>
      <c r="S43" s="78"/>
      <c r="T43" s="78"/>
      <c r="U43" s="78"/>
      <c r="V43" s="78"/>
    </row>
    <row r="44" spans="1:22" ht="52.5" customHeight="1">
      <c r="A44" s="12">
        <v>39</v>
      </c>
      <c r="B44" s="10" t="s">
        <v>192</v>
      </c>
      <c r="C44" s="14" t="s">
        <v>191</v>
      </c>
      <c r="D44" s="6">
        <v>1</v>
      </c>
      <c r="E44" s="8" t="s">
        <v>144</v>
      </c>
      <c r="F44" s="8">
        <v>1</v>
      </c>
      <c r="G44" s="66" t="s">
        <v>398</v>
      </c>
      <c r="H44" s="5"/>
      <c r="I44" s="28" t="s">
        <v>184</v>
      </c>
      <c r="J44" s="48">
        <f>'Dados Detalhados'!$L$453</f>
        <v>400</v>
      </c>
      <c r="K44" s="48">
        <f>'Dados Detalhados'!$L$453</f>
        <v>400</v>
      </c>
      <c r="L44" s="48">
        <f>'Dados Detalhados'!$L$453</f>
        <v>400</v>
      </c>
      <c r="M44" s="48">
        <f>'Dados Detalhados'!$L$453</f>
        <v>400</v>
      </c>
      <c r="N44" s="48">
        <f>'Dados Detalhados'!$L$453</f>
        <v>400</v>
      </c>
      <c r="O44" s="78">
        <f t="shared" si="0"/>
        <v>2000</v>
      </c>
      <c r="P44" s="78"/>
      <c r="Q44" s="78"/>
      <c r="R44" s="78"/>
      <c r="S44" s="78"/>
      <c r="T44" s="78">
        <f t="shared" si="4"/>
        <v>2000</v>
      </c>
      <c r="U44" s="78"/>
      <c r="V44" s="78"/>
    </row>
    <row r="45" spans="1:22" ht="52.5" customHeight="1">
      <c r="A45" s="12">
        <v>40</v>
      </c>
      <c r="B45" s="60" t="s">
        <v>190</v>
      </c>
      <c r="C45" s="60" t="s">
        <v>189</v>
      </c>
      <c r="D45" s="6">
        <v>1</v>
      </c>
      <c r="E45" s="8" t="s">
        <v>144</v>
      </c>
      <c r="F45" s="8">
        <v>1</v>
      </c>
      <c r="G45" s="66" t="s">
        <v>398</v>
      </c>
      <c r="H45" s="5"/>
      <c r="I45" s="28" t="s">
        <v>184</v>
      </c>
      <c r="J45" s="42">
        <v>0</v>
      </c>
      <c r="K45" s="47">
        <v>0</v>
      </c>
      <c r="L45" s="224">
        <f>'Dados Detalhados'!$L$455</f>
        <v>16084</v>
      </c>
      <c r="M45" s="43">
        <v>0</v>
      </c>
      <c r="N45" s="43">
        <v>0</v>
      </c>
      <c r="O45" s="78">
        <f t="shared" si="0"/>
        <v>16084</v>
      </c>
      <c r="P45" s="78">
        <f t="shared" si="1"/>
        <v>16084</v>
      </c>
      <c r="Q45" s="78"/>
      <c r="R45" s="78"/>
      <c r="S45" s="78"/>
      <c r="T45" s="78"/>
      <c r="U45" s="78"/>
      <c r="V45" s="78"/>
    </row>
    <row r="46" spans="1:22" ht="52.5" customHeight="1">
      <c r="A46" s="12">
        <v>41</v>
      </c>
      <c r="B46" s="60" t="s">
        <v>188</v>
      </c>
      <c r="C46" s="60" t="s">
        <v>187</v>
      </c>
      <c r="D46" s="6">
        <v>1</v>
      </c>
      <c r="E46" s="8" t="s">
        <v>144</v>
      </c>
      <c r="F46" s="8">
        <v>1</v>
      </c>
      <c r="G46" s="66" t="s">
        <v>398</v>
      </c>
      <c r="H46" s="5"/>
      <c r="I46" s="28" t="s">
        <v>184</v>
      </c>
      <c r="J46" s="42">
        <v>0</v>
      </c>
      <c r="K46" s="47">
        <v>0</v>
      </c>
      <c r="L46" s="224">
        <f>'Dados Detalhados'!$L$457</f>
        <v>5748.5</v>
      </c>
      <c r="M46" s="43">
        <v>0</v>
      </c>
      <c r="N46" s="43">
        <v>5748.5</v>
      </c>
      <c r="O46" s="78">
        <f t="shared" si="0"/>
        <v>11497</v>
      </c>
      <c r="P46" s="78">
        <f t="shared" si="1"/>
        <v>11497</v>
      </c>
      <c r="Q46" s="78"/>
      <c r="R46" s="78"/>
      <c r="S46" s="78"/>
      <c r="T46" s="78"/>
      <c r="U46" s="78"/>
      <c r="V46" s="78"/>
    </row>
    <row r="47" spans="1:22" ht="52.5" customHeight="1">
      <c r="A47" s="12">
        <v>42</v>
      </c>
      <c r="B47" s="10" t="s">
        <v>186</v>
      </c>
      <c r="C47" s="14" t="s">
        <v>185</v>
      </c>
      <c r="D47" s="6">
        <v>3</v>
      </c>
      <c r="E47" s="8" t="s">
        <v>144</v>
      </c>
      <c r="F47" s="8">
        <v>1</v>
      </c>
      <c r="G47" s="66" t="s">
        <v>397</v>
      </c>
      <c r="H47" s="5"/>
      <c r="I47" s="28" t="s">
        <v>184</v>
      </c>
      <c r="J47" s="42">
        <v>0</v>
      </c>
      <c r="K47" s="47">
        <v>0</v>
      </c>
      <c r="L47" s="43">
        <f>'Dados Detalhados'!$L$475</f>
        <v>4411.3900000000003</v>
      </c>
      <c r="M47" s="43">
        <v>0</v>
      </c>
      <c r="N47" s="43">
        <v>0</v>
      </c>
      <c r="O47" s="78">
        <f t="shared" si="0"/>
        <v>4411.3900000000003</v>
      </c>
      <c r="P47" s="78"/>
      <c r="Q47" s="78"/>
      <c r="R47" s="78"/>
      <c r="S47" s="78"/>
      <c r="T47" s="78"/>
      <c r="U47" s="78"/>
      <c r="V47" s="78">
        <f t="shared" si="3"/>
        <v>4411.3900000000003</v>
      </c>
    </row>
    <row r="48" spans="1:22" s="156" customFormat="1" ht="52.5" customHeight="1">
      <c r="A48" s="150">
        <v>43</v>
      </c>
      <c r="B48" s="11" t="s">
        <v>183</v>
      </c>
      <c r="C48" s="11" t="s">
        <v>182</v>
      </c>
      <c r="D48" s="151">
        <v>1</v>
      </c>
      <c r="E48" s="33" t="s">
        <v>389</v>
      </c>
      <c r="F48" s="33">
        <v>2</v>
      </c>
      <c r="G48" s="66" t="s">
        <v>400</v>
      </c>
      <c r="H48" s="153" t="s">
        <v>327</v>
      </c>
      <c r="I48" s="50" t="s">
        <v>165</v>
      </c>
      <c r="J48" s="224">
        <f>'Dados Detalhados'!$L$491</f>
        <v>8700</v>
      </c>
      <c r="K48" s="224">
        <f>'Dados Detalhados'!$L$491</f>
        <v>8700</v>
      </c>
      <c r="L48" s="43"/>
      <c r="M48" s="43"/>
      <c r="N48" s="43"/>
      <c r="O48" s="152">
        <f t="shared" si="0"/>
        <v>17400</v>
      </c>
      <c r="P48" s="78">
        <f t="shared" si="1"/>
        <v>17400</v>
      </c>
      <c r="Q48" s="78"/>
      <c r="R48" s="78"/>
      <c r="S48" s="78"/>
      <c r="T48" s="78"/>
      <c r="U48" s="152"/>
      <c r="V48" s="78"/>
    </row>
    <row r="49" spans="1:22" ht="52.5" customHeight="1">
      <c r="A49" s="12">
        <v>44</v>
      </c>
      <c r="B49" s="10" t="s">
        <v>180</v>
      </c>
      <c r="C49" s="14" t="s">
        <v>181</v>
      </c>
      <c r="D49" s="6">
        <v>1</v>
      </c>
      <c r="E49" s="8" t="s">
        <v>389</v>
      </c>
      <c r="F49" s="8">
        <v>2</v>
      </c>
      <c r="G49" s="66" t="s">
        <v>400</v>
      </c>
      <c r="H49" s="5" t="s">
        <v>326</v>
      </c>
      <c r="I49" s="28" t="s">
        <v>165</v>
      </c>
      <c r="J49" s="42">
        <v>0</v>
      </c>
      <c r="K49" s="224">
        <f>'Dados Detalhados'!$L$494</f>
        <v>3356.39</v>
      </c>
      <c r="L49" s="43">
        <v>0</v>
      </c>
      <c r="M49" s="43">
        <v>0</v>
      </c>
      <c r="N49" s="43">
        <v>0</v>
      </c>
      <c r="O49" s="78">
        <f t="shared" si="0"/>
        <v>3356.39</v>
      </c>
      <c r="P49" s="78">
        <f t="shared" si="1"/>
        <v>3356.39</v>
      </c>
      <c r="Q49" s="78"/>
      <c r="R49" s="78"/>
      <c r="S49" s="78"/>
      <c r="T49" s="78"/>
      <c r="U49" s="78"/>
      <c r="V49" s="78"/>
    </row>
    <row r="50" spans="1:22" ht="52.5" customHeight="1">
      <c r="A50" s="12">
        <v>45</v>
      </c>
      <c r="B50" s="10" t="s">
        <v>179</v>
      </c>
      <c r="C50" s="14" t="s">
        <v>178</v>
      </c>
      <c r="D50" s="6">
        <v>1</v>
      </c>
      <c r="E50" s="8" t="s">
        <v>389</v>
      </c>
      <c r="F50" s="8">
        <v>2</v>
      </c>
      <c r="G50" s="66" t="s">
        <v>400</v>
      </c>
      <c r="H50" s="5"/>
      <c r="I50" s="28" t="s">
        <v>165</v>
      </c>
      <c r="J50" s="42">
        <v>0</v>
      </c>
      <c r="K50" s="47">
        <v>0</v>
      </c>
      <c r="L50" s="43"/>
      <c r="M50" s="224">
        <f>'Dados Detalhados'!$L$504</f>
        <v>3356.39</v>
      </c>
      <c r="N50" s="43">
        <v>0</v>
      </c>
      <c r="O50" s="78">
        <f t="shared" si="0"/>
        <v>3356.39</v>
      </c>
      <c r="P50" s="78">
        <f t="shared" si="1"/>
        <v>3356.39</v>
      </c>
      <c r="Q50" s="78"/>
      <c r="R50" s="78"/>
      <c r="S50" s="78"/>
      <c r="T50" s="78"/>
      <c r="U50" s="78"/>
      <c r="V50" s="78"/>
    </row>
    <row r="51" spans="1:22" ht="52.5" customHeight="1">
      <c r="A51" s="12">
        <v>46</v>
      </c>
      <c r="B51" s="10" t="s">
        <v>177</v>
      </c>
      <c r="C51" s="14" t="s">
        <v>176</v>
      </c>
      <c r="D51" s="6"/>
      <c r="E51" s="8" t="s">
        <v>389</v>
      </c>
      <c r="F51" s="8">
        <v>2</v>
      </c>
      <c r="G51" s="66" t="s">
        <v>400</v>
      </c>
      <c r="H51" s="5"/>
      <c r="I51" s="28" t="s">
        <v>165</v>
      </c>
      <c r="J51" s="42">
        <f>'Dados Detalhados'!$L$514</f>
        <v>0</v>
      </c>
      <c r="K51" s="42">
        <f>'Dados Detalhados'!$L$514</f>
        <v>0</v>
      </c>
      <c r="L51" s="42">
        <f>'Dados Detalhados'!$L$514</f>
        <v>0</v>
      </c>
      <c r="M51" s="42">
        <f>'Dados Detalhados'!$L$514</f>
        <v>0</v>
      </c>
      <c r="N51" s="42">
        <f>'Dados Detalhados'!$L$514</f>
        <v>0</v>
      </c>
      <c r="O51" s="78">
        <f t="shared" si="0"/>
        <v>0</v>
      </c>
      <c r="P51" s="78">
        <f t="shared" si="1"/>
        <v>0</v>
      </c>
      <c r="Q51" s="78">
        <f t="shared" si="5"/>
        <v>0</v>
      </c>
      <c r="R51" s="78">
        <f t="shared" si="2"/>
        <v>0</v>
      </c>
      <c r="S51" s="78">
        <f t="shared" si="6"/>
        <v>0</v>
      </c>
      <c r="T51" s="78">
        <f t="shared" si="4"/>
        <v>0</v>
      </c>
      <c r="U51" s="78"/>
      <c r="V51" s="78">
        <f t="shared" si="3"/>
        <v>0</v>
      </c>
    </row>
    <row r="52" spans="1:22" ht="52.5" customHeight="1">
      <c r="A52" s="12">
        <v>47</v>
      </c>
      <c r="B52" s="10" t="s">
        <v>175</v>
      </c>
      <c r="C52" s="14" t="s">
        <v>174</v>
      </c>
      <c r="D52" s="6">
        <v>2</v>
      </c>
      <c r="E52" s="8" t="s">
        <v>389</v>
      </c>
      <c r="F52" s="8">
        <v>2</v>
      </c>
      <c r="G52" s="66" t="s">
        <v>400</v>
      </c>
      <c r="H52" s="5" t="s">
        <v>325</v>
      </c>
      <c r="I52" s="28" t="s">
        <v>165</v>
      </c>
      <c r="J52" s="42">
        <v>0</v>
      </c>
      <c r="K52" s="225">
        <f>'Dados Detalhados'!$L$517</f>
        <v>1100</v>
      </c>
      <c r="L52" s="43">
        <v>0</v>
      </c>
      <c r="M52" s="43">
        <v>0</v>
      </c>
      <c r="N52" s="43">
        <v>0</v>
      </c>
      <c r="O52" s="78">
        <f t="shared" si="0"/>
        <v>1100</v>
      </c>
      <c r="P52" s="78"/>
      <c r="Q52" s="78"/>
      <c r="R52" s="78">
        <f t="shared" si="2"/>
        <v>1100</v>
      </c>
      <c r="S52" s="78"/>
      <c r="T52" s="78"/>
      <c r="U52" s="78"/>
      <c r="V52" s="78"/>
    </row>
    <row r="53" spans="1:22" ht="52.5" customHeight="1">
      <c r="A53" s="12">
        <v>48</v>
      </c>
      <c r="B53" s="10" t="s">
        <v>173</v>
      </c>
      <c r="C53" s="14" t="s">
        <v>172</v>
      </c>
      <c r="D53" s="6">
        <v>3</v>
      </c>
      <c r="E53" s="8" t="s">
        <v>389</v>
      </c>
      <c r="F53" s="8">
        <v>2</v>
      </c>
      <c r="G53" s="66" t="s">
        <v>400</v>
      </c>
      <c r="H53" s="5" t="s">
        <v>324</v>
      </c>
      <c r="I53" s="28" t="s">
        <v>165</v>
      </c>
      <c r="J53" s="224">
        <f>'Dados Detalhados'!$L$520</f>
        <v>1593.33</v>
      </c>
      <c r="K53" s="224">
        <f>'Dados Detalhados'!$L$520</f>
        <v>1593.33</v>
      </c>
      <c r="L53" s="224">
        <f>'Dados Detalhados'!$L$520</f>
        <v>1593.33</v>
      </c>
      <c r="M53" s="224">
        <f>'Dados Detalhados'!$L$520</f>
        <v>1593.33</v>
      </c>
      <c r="N53" s="224">
        <f>'Dados Detalhados'!$L$520</f>
        <v>1593.33</v>
      </c>
      <c r="O53" s="78">
        <f t="shared" si="0"/>
        <v>7966.65</v>
      </c>
      <c r="P53" s="78">
        <f t="shared" si="1"/>
        <v>7966.65</v>
      </c>
      <c r="Q53" s="78"/>
      <c r="R53" s="78"/>
      <c r="S53" s="78"/>
      <c r="T53" s="78"/>
      <c r="U53" s="78"/>
      <c r="V53" s="78"/>
    </row>
    <row r="54" spans="1:22" ht="52.5" customHeight="1">
      <c r="A54" s="12">
        <v>49</v>
      </c>
      <c r="B54" s="10" t="s">
        <v>171</v>
      </c>
      <c r="C54" s="14" t="s">
        <v>170</v>
      </c>
      <c r="D54" s="6">
        <v>1</v>
      </c>
      <c r="E54" s="8" t="s">
        <v>389</v>
      </c>
      <c r="F54" s="8">
        <v>2</v>
      </c>
      <c r="G54" s="66" t="s">
        <v>400</v>
      </c>
      <c r="H54" s="5" t="s">
        <v>323</v>
      </c>
      <c r="I54" s="28" t="s">
        <v>165</v>
      </c>
      <c r="J54" s="42">
        <v>0</v>
      </c>
      <c r="K54" s="47">
        <v>0</v>
      </c>
      <c r="L54" s="43"/>
      <c r="M54" s="224">
        <f>'Dados Detalhados'!$L$527</f>
        <v>20261.940000000002</v>
      </c>
      <c r="N54" s="43">
        <v>0</v>
      </c>
      <c r="O54" s="78">
        <f t="shared" si="0"/>
        <v>20261.940000000002</v>
      </c>
      <c r="P54" s="78">
        <f t="shared" si="1"/>
        <v>20261.940000000002</v>
      </c>
      <c r="Q54" s="78"/>
      <c r="R54" s="78"/>
      <c r="S54" s="78"/>
      <c r="T54" s="78"/>
      <c r="U54" s="78"/>
      <c r="V54" s="78"/>
    </row>
    <row r="55" spans="1:22" ht="52.5" customHeight="1">
      <c r="A55" s="12">
        <v>50</v>
      </c>
      <c r="B55" s="10" t="s">
        <v>169</v>
      </c>
      <c r="C55" s="14" t="s">
        <v>168</v>
      </c>
      <c r="D55" s="6">
        <v>3</v>
      </c>
      <c r="E55" s="8" t="s">
        <v>389</v>
      </c>
      <c r="F55" s="8">
        <v>2</v>
      </c>
      <c r="G55" s="66" t="s">
        <v>400</v>
      </c>
      <c r="H55" s="5" t="s">
        <v>322</v>
      </c>
      <c r="I55" s="28" t="s">
        <v>165</v>
      </c>
      <c r="J55" s="42">
        <v>0</v>
      </c>
      <c r="K55" s="224">
        <f>'Dados Detalhados'!$L$539</f>
        <v>3141.11</v>
      </c>
      <c r="L55" s="224">
        <f>'Dados Detalhados'!$L$539</f>
        <v>3141.11</v>
      </c>
      <c r="M55" s="47"/>
      <c r="N55" s="47">
        <f>'Dados Detalhados'!$L$539</f>
        <v>3141.11</v>
      </c>
      <c r="O55" s="78">
        <f t="shared" si="0"/>
        <v>9423.33</v>
      </c>
      <c r="P55" s="78">
        <f t="shared" si="1"/>
        <v>9423.33</v>
      </c>
      <c r="Q55" s="78"/>
      <c r="R55" s="78"/>
      <c r="S55" s="78"/>
      <c r="T55" s="78"/>
      <c r="U55" s="78"/>
      <c r="V55" s="78"/>
    </row>
    <row r="56" spans="1:22" ht="52.5" customHeight="1">
      <c r="A56" s="12">
        <v>51</v>
      </c>
      <c r="B56" s="10" t="s">
        <v>167</v>
      </c>
      <c r="C56" s="14" t="s">
        <v>166</v>
      </c>
      <c r="D56" s="6">
        <v>3</v>
      </c>
      <c r="E56" s="8" t="s">
        <v>389</v>
      </c>
      <c r="F56" s="8">
        <v>2</v>
      </c>
      <c r="G56" s="66" t="s">
        <v>400</v>
      </c>
      <c r="H56" s="5" t="s">
        <v>321</v>
      </c>
      <c r="I56" s="28" t="s">
        <v>165</v>
      </c>
      <c r="J56" s="42">
        <v>0</v>
      </c>
      <c r="K56" s="224">
        <f>'Dados Detalhados'!$L$551</f>
        <v>374.67</v>
      </c>
      <c r="L56" s="224">
        <f>'Dados Detalhados'!$L$551</f>
        <v>374.67</v>
      </c>
      <c r="M56" s="224">
        <f>'Dados Detalhados'!$L$551</f>
        <v>374.67</v>
      </c>
      <c r="N56" s="224">
        <f>'Dados Detalhados'!$L$551</f>
        <v>374.67</v>
      </c>
      <c r="O56" s="78">
        <f t="shared" si="0"/>
        <v>1498.68</v>
      </c>
      <c r="P56" s="78">
        <f t="shared" si="1"/>
        <v>1498.68</v>
      </c>
      <c r="Q56" s="78"/>
      <c r="R56" s="78"/>
      <c r="S56" s="78"/>
      <c r="T56" s="78"/>
      <c r="U56" s="78"/>
      <c r="V56" s="78"/>
    </row>
    <row r="57" spans="1:22" ht="52.5" customHeight="1">
      <c r="A57" s="12">
        <v>52</v>
      </c>
      <c r="B57" s="10" t="s">
        <v>164</v>
      </c>
      <c r="C57" s="14" t="s">
        <v>163</v>
      </c>
      <c r="D57" s="6">
        <v>1</v>
      </c>
      <c r="E57" s="8" t="s">
        <v>390</v>
      </c>
      <c r="F57" s="8">
        <v>3</v>
      </c>
      <c r="G57" s="66" t="s">
        <v>403</v>
      </c>
      <c r="H57" s="5" t="s">
        <v>320</v>
      </c>
      <c r="I57" s="28" t="s">
        <v>143</v>
      </c>
      <c r="J57" s="224">
        <f>'Dados Detalhados'!$L$556</f>
        <v>3722.2200000000003</v>
      </c>
      <c r="K57" s="224">
        <f>'Dados Detalhados'!$L$556</f>
        <v>3722.2200000000003</v>
      </c>
      <c r="L57" s="224">
        <f>'Dados Detalhados'!$L$556</f>
        <v>3722.2200000000003</v>
      </c>
      <c r="M57" s="224">
        <f>'Dados Detalhados'!$L$556</f>
        <v>3722.2200000000003</v>
      </c>
      <c r="N57" s="224">
        <f>'Dados Detalhados'!$L$556</f>
        <v>3722.2200000000003</v>
      </c>
      <c r="O57" s="78">
        <f t="shared" si="0"/>
        <v>18611.100000000002</v>
      </c>
      <c r="P57" s="78">
        <f t="shared" si="1"/>
        <v>18611.100000000002</v>
      </c>
      <c r="Q57" s="78"/>
      <c r="R57" s="78"/>
      <c r="S57" s="78"/>
      <c r="T57" s="78"/>
      <c r="U57" s="78"/>
      <c r="V57" s="78"/>
    </row>
    <row r="58" spans="1:22" ht="52.5" customHeight="1">
      <c r="A58" s="12">
        <v>53</v>
      </c>
      <c r="B58" s="10" t="s">
        <v>162</v>
      </c>
      <c r="C58" s="14" t="s">
        <v>161</v>
      </c>
      <c r="D58" s="6">
        <v>1</v>
      </c>
      <c r="E58" s="8" t="s">
        <v>390</v>
      </c>
      <c r="F58" s="8">
        <v>3</v>
      </c>
      <c r="G58" s="66" t="s">
        <v>403</v>
      </c>
      <c r="H58" s="5" t="s">
        <v>319</v>
      </c>
      <c r="I58" s="28" t="s">
        <v>143</v>
      </c>
      <c r="J58" s="224">
        <f>'Dados Detalhados'!$L$560</f>
        <v>3722.2200000000003</v>
      </c>
      <c r="K58" s="224">
        <f>'Dados Detalhados'!$L$560</f>
        <v>3722.2200000000003</v>
      </c>
      <c r="L58" s="224">
        <f>'Dados Detalhados'!$L$560</f>
        <v>3722.2200000000003</v>
      </c>
      <c r="M58" s="224">
        <f>'Dados Detalhados'!$L$560</f>
        <v>3722.2200000000003</v>
      </c>
      <c r="N58" s="224">
        <f>'Dados Detalhados'!$L$560</f>
        <v>3722.2200000000003</v>
      </c>
      <c r="O58" s="78">
        <f t="shared" si="0"/>
        <v>18611.100000000002</v>
      </c>
      <c r="P58" s="78">
        <f t="shared" si="1"/>
        <v>18611.100000000002</v>
      </c>
      <c r="Q58" s="78"/>
      <c r="R58" s="78"/>
      <c r="S58" s="78"/>
      <c r="T58" s="78"/>
      <c r="U58" s="78"/>
      <c r="V58" s="78"/>
    </row>
    <row r="59" spans="1:22" ht="52.5" customHeight="1">
      <c r="A59" s="12">
        <v>54</v>
      </c>
      <c r="B59" s="10" t="s">
        <v>160</v>
      </c>
      <c r="C59" s="14" t="s">
        <v>867</v>
      </c>
      <c r="D59" s="6">
        <v>2</v>
      </c>
      <c r="E59" s="8" t="s">
        <v>389</v>
      </c>
      <c r="F59" s="8">
        <v>2</v>
      </c>
      <c r="G59" s="21" t="s">
        <v>866</v>
      </c>
      <c r="H59" s="5" t="s">
        <v>318</v>
      </c>
      <c r="I59" s="28" t="s">
        <v>143</v>
      </c>
      <c r="J59" s="42">
        <v>0</v>
      </c>
      <c r="K59" s="224">
        <f>'Dados Detalhados'!$L$564</f>
        <v>22000</v>
      </c>
      <c r="L59" s="47"/>
      <c r="M59" s="224">
        <f>'Dados Detalhados'!$L$564</f>
        <v>22000</v>
      </c>
      <c r="N59" s="43">
        <v>0</v>
      </c>
      <c r="O59" s="78">
        <f>J59+K59+L59+M59+N59</f>
        <v>44000</v>
      </c>
      <c r="P59" s="78">
        <f t="shared" si="1"/>
        <v>44000</v>
      </c>
      <c r="Q59" s="78"/>
      <c r="R59" s="78"/>
      <c r="S59" s="78"/>
      <c r="T59" s="78"/>
      <c r="U59" s="78"/>
      <c r="V59" s="78"/>
    </row>
    <row r="60" spans="1:22" ht="52.5" customHeight="1">
      <c r="A60" s="12" t="s">
        <v>870</v>
      </c>
      <c r="B60" s="10" t="s">
        <v>868</v>
      </c>
      <c r="C60" s="246" t="s">
        <v>871</v>
      </c>
      <c r="D60" s="6">
        <v>1</v>
      </c>
      <c r="E60" s="8" t="s">
        <v>389</v>
      </c>
      <c r="F60" s="8">
        <v>2</v>
      </c>
      <c r="G60" s="21" t="s">
        <v>866</v>
      </c>
      <c r="H60" s="5"/>
      <c r="I60" s="28"/>
      <c r="J60" s="42"/>
      <c r="K60" s="47"/>
      <c r="L60" s="224">
        <f>'Dados Detalhados'!$L$568</f>
        <v>11000</v>
      </c>
      <c r="M60" s="43"/>
      <c r="N60" s="43"/>
      <c r="O60" s="78">
        <f t="shared" ref="O60:O62" si="7">J60+K60+L60+M60+N60</f>
        <v>11000</v>
      </c>
      <c r="P60" s="78">
        <f t="shared" si="1"/>
        <v>11000</v>
      </c>
      <c r="Q60" s="78"/>
      <c r="R60" s="78"/>
      <c r="S60" s="78"/>
      <c r="T60" s="78"/>
      <c r="U60" s="78"/>
      <c r="V60" s="78"/>
    </row>
    <row r="61" spans="1:22" ht="52.5" customHeight="1">
      <c r="A61" s="12">
        <v>54.2</v>
      </c>
      <c r="B61" s="10" t="s">
        <v>869</v>
      </c>
      <c r="C61" s="246" t="s">
        <v>872</v>
      </c>
      <c r="D61" s="6">
        <v>1</v>
      </c>
      <c r="E61" s="8" t="s">
        <v>389</v>
      </c>
      <c r="F61" s="8">
        <v>2</v>
      </c>
      <c r="G61" s="21" t="s">
        <v>866</v>
      </c>
      <c r="H61" s="5"/>
      <c r="I61" s="28"/>
      <c r="J61" s="42"/>
      <c r="K61" s="47"/>
      <c r="L61" s="43"/>
      <c r="M61" s="224">
        <f>'Dados Detalhados'!$L$571</f>
        <v>11000</v>
      </c>
      <c r="N61" s="43"/>
      <c r="O61" s="78">
        <f t="shared" si="7"/>
        <v>11000</v>
      </c>
      <c r="P61" s="78">
        <f t="shared" si="1"/>
        <v>11000</v>
      </c>
      <c r="Q61" s="78"/>
      <c r="R61" s="78"/>
      <c r="S61" s="78"/>
      <c r="T61" s="78"/>
      <c r="U61" s="78"/>
      <c r="V61" s="78"/>
    </row>
    <row r="62" spans="1:22" ht="52.5" customHeight="1">
      <c r="A62" s="12">
        <v>55</v>
      </c>
      <c r="B62" s="10" t="s">
        <v>158</v>
      </c>
      <c r="C62" s="14" t="s">
        <v>157</v>
      </c>
      <c r="D62" s="6">
        <v>2</v>
      </c>
      <c r="E62" s="8" t="s">
        <v>144</v>
      </c>
      <c r="F62" s="8">
        <v>1</v>
      </c>
      <c r="G62" s="66" t="s">
        <v>397</v>
      </c>
      <c r="H62" s="5" t="s">
        <v>317</v>
      </c>
      <c r="I62" s="28" t="s">
        <v>143</v>
      </c>
      <c r="J62" s="48">
        <f>'Dados Detalhados'!$L$574</f>
        <v>92.829999999999984</v>
      </c>
      <c r="K62" s="48">
        <f>'Dados Detalhados'!$L$574</f>
        <v>92.829999999999984</v>
      </c>
      <c r="L62" s="48">
        <f>'Dados Detalhados'!$L$574</f>
        <v>92.829999999999984</v>
      </c>
      <c r="M62" s="48">
        <f>'Dados Detalhados'!$L$574</f>
        <v>92.829999999999984</v>
      </c>
      <c r="N62" s="48">
        <f>'Dados Detalhados'!$L$574</f>
        <v>92.829999999999984</v>
      </c>
      <c r="O62" s="78">
        <f t="shared" si="7"/>
        <v>464.14999999999992</v>
      </c>
      <c r="P62" s="78"/>
      <c r="Q62" s="78"/>
      <c r="R62" s="78"/>
      <c r="S62" s="78"/>
      <c r="T62" s="78">
        <f t="shared" si="4"/>
        <v>464.14999999999992</v>
      </c>
      <c r="U62" s="78"/>
      <c r="V62" s="78"/>
    </row>
    <row r="63" spans="1:22" ht="58.5" customHeight="1">
      <c r="A63" s="12">
        <v>56</v>
      </c>
      <c r="B63" s="10" t="s">
        <v>155</v>
      </c>
      <c r="C63" s="14" t="s">
        <v>156</v>
      </c>
      <c r="D63" s="6">
        <v>1</v>
      </c>
      <c r="E63" s="8" t="s">
        <v>390</v>
      </c>
      <c r="F63" s="8">
        <v>3</v>
      </c>
      <c r="G63" s="66" t="s">
        <v>404</v>
      </c>
      <c r="H63" s="5" t="s">
        <v>316</v>
      </c>
      <c r="I63" s="28" t="s">
        <v>143</v>
      </c>
      <c r="J63" s="224">
        <f>'Dados Detalhados'!$L$577</f>
        <v>19562.891999999996</v>
      </c>
      <c r="K63" s="47">
        <v>0</v>
      </c>
      <c r="L63" s="43">
        <v>0</v>
      </c>
      <c r="M63" s="43">
        <v>0</v>
      </c>
      <c r="N63" s="43">
        <v>0</v>
      </c>
      <c r="O63" s="78">
        <f t="shared" si="0"/>
        <v>19562.891999999996</v>
      </c>
      <c r="P63" s="78">
        <f t="shared" si="1"/>
        <v>19562.891999999996</v>
      </c>
      <c r="Q63" s="78"/>
      <c r="R63" s="78"/>
      <c r="S63" s="78"/>
      <c r="T63" s="78"/>
      <c r="U63" s="78"/>
      <c r="V63" s="78"/>
    </row>
    <row r="64" spans="1:22" ht="52.5" customHeight="1">
      <c r="A64" s="12">
        <v>57</v>
      </c>
      <c r="B64" s="10" t="s">
        <v>154</v>
      </c>
      <c r="C64" s="14" t="s">
        <v>153</v>
      </c>
      <c r="D64" s="6">
        <v>2</v>
      </c>
      <c r="E64" s="8" t="s">
        <v>390</v>
      </c>
      <c r="F64" s="8">
        <v>3</v>
      </c>
      <c r="G64" s="66" t="s">
        <v>404</v>
      </c>
      <c r="H64" s="5"/>
      <c r="I64" s="28" t="s">
        <v>143</v>
      </c>
      <c r="J64" s="42">
        <v>0</v>
      </c>
      <c r="K64" s="47">
        <v>0</v>
      </c>
      <c r="L64" s="43">
        <f>'Dados Detalhados'!$L$593</f>
        <v>19562.87</v>
      </c>
      <c r="M64" s="43">
        <v>0</v>
      </c>
      <c r="N64" s="43">
        <v>0</v>
      </c>
      <c r="O64" s="78">
        <f t="shared" si="0"/>
        <v>19562.87</v>
      </c>
      <c r="P64" s="78"/>
      <c r="Q64" s="78"/>
      <c r="R64" s="78"/>
      <c r="S64" s="78"/>
      <c r="T64" s="78"/>
      <c r="U64" s="78"/>
      <c r="V64" s="78">
        <f t="shared" si="3"/>
        <v>19562.87</v>
      </c>
    </row>
    <row r="65" spans="1:22" ht="52.5" customHeight="1">
      <c r="A65" s="12">
        <v>58</v>
      </c>
      <c r="B65" s="10" t="s">
        <v>152</v>
      </c>
      <c r="C65" s="14" t="s">
        <v>151</v>
      </c>
      <c r="D65" s="6">
        <v>1</v>
      </c>
      <c r="E65" s="8" t="s">
        <v>390</v>
      </c>
      <c r="F65" s="8">
        <v>3</v>
      </c>
      <c r="G65" s="66" t="s">
        <v>403</v>
      </c>
      <c r="H65" s="5" t="s">
        <v>315</v>
      </c>
      <c r="I65" s="28" t="s">
        <v>143</v>
      </c>
      <c r="J65" s="224">
        <f>'Dados Detalhados'!$L$609</f>
        <v>18499.990000000002</v>
      </c>
      <c r="K65" s="224">
        <f>'Dados Detalhados'!$L$609</f>
        <v>18499.990000000002</v>
      </c>
      <c r="L65" s="224">
        <f>'Dados Detalhados'!$L$609</f>
        <v>18499.990000000002</v>
      </c>
      <c r="M65" s="224">
        <f>'Dados Detalhados'!$L$609</f>
        <v>18499.990000000002</v>
      </c>
      <c r="N65" s="224">
        <f>'Dados Detalhados'!$L$609</f>
        <v>18499.990000000002</v>
      </c>
      <c r="O65" s="78">
        <f t="shared" si="0"/>
        <v>92499.950000000012</v>
      </c>
      <c r="P65" s="78">
        <f t="shared" si="1"/>
        <v>92499.950000000012</v>
      </c>
      <c r="Q65" s="78"/>
      <c r="R65" s="78"/>
      <c r="S65" s="78"/>
      <c r="T65" s="78"/>
      <c r="U65" s="78"/>
      <c r="V65" s="78"/>
    </row>
    <row r="66" spans="1:22" ht="52.5" customHeight="1">
      <c r="A66" s="12">
        <v>59</v>
      </c>
      <c r="B66" s="10" t="s">
        <v>150</v>
      </c>
      <c r="C66" s="14" t="s">
        <v>149</v>
      </c>
      <c r="D66" s="6">
        <v>2</v>
      </c>
      <c r="E66" s="8" t="s">
        <v>390</v>
      </c>
      <c r="F66" s="8">
        <v>3</v>
      </c>
      <c r="G66" s="66" t="s">
        <v>403</v>
      </c>
      <c r="H66" s="5" t="s">
        <v>314</v>
      </c>
      <c r="I66" s="28" t="s">
        <v>143</v>
      </c>
      <c r="J66" s="224">
        <f>'Dados Detalhados'!$L$623</f>
        <v>11333.33</v>
      </c>
      <c r="K66" s="224">
        <f>'Dados Detalhados'!$L$623</f>
        <v>11333.33</v>
      </c>
      <c r="L66" s="224">
        <f>'Dados Detalhados'!$L$623</f>
        <v>11333.33</v>
      </c>
      <c r="M66" s="224">
        <f>'Dados Detalhados'!$L$623</f>
        <v>11333.33</v>
      </c>
      <c r="N66" s="224">
        <f>'Dados Detalhados'!$L$623</f>
        <v>11333.33</v>
      </c>
      <c r="O66" s="78">
        <f t="shared" si="0"/>
        <v>56666.65</v>
      </c>
      <c r="P66" s="78">
        <f t="shared" si="1"/>
        <v>56666.65</v>
      </c>
      <c r="Q66" s="78"/>
      <c r="R66" s="78"/>
      <c r="S66" s="78"/>
      <c r="T66" s="78"/>
      <c r="U66" s="78"/>
      <c r="V66" s="78"/>
    </row>
    <row r="67" spans="1:22" ht="52.5" customHeight="1">
      <c r="A67" s="12">
        <v>60</v>
      </c>
      <c r="B67" s="10" t="s">
        <v>148</v>
      </c>
      <c r="C67" s="14" t="s">
        <v>147</v>
      </c>
      <c r="D67" s="6">
        <v>2</v>
      </c>
      <c r="E67" s="8" t="s">
        <v>390</v>
      </c>
      <c r="F67" s="8">
        <v>3</v>
      </c>
      <c r="G67" s="66" t="s">
        <v>403</v>
      </c>
      <c r="H67" s="5"/>
      <c r="I67" s="28" t="s">
        <v>143</v>
      </c>
      <c r="J67" s="42">
        <v>0</v>
      </c>
      <c r="K67" s="224">
        <f>'Dados Detalhados'!$L$626</f>
        <v>5186.92</v>
      </c>
      <c r="L67" s="43">
        <v>0</v>
      </c>
      <c r="M67" s="43">
        <v>0</v>
      </c>
      <c r="N67" s="43">
        <v>0</v>
      </c>
      <c r="O67" s="78">
        <f t="shared" si="0"/>
        <v>5186.92</v>
      </c>
      <c r="P67" s="78">
        <f t="shared" si="1"/>
        <v>5186.92</v>
      </c>
      <c r="Q67" s="78"/>
      <c r="R67" s="78"/>
      <c r="S67" s="78"/>
      <c r="T67" s="78"/>
      <c r="U67" s="78"/>
      <c r="V67" s="78"/>
    </row>
    <row r="68" spans="1:22" ht="52.5" customHeight="1">
      <c r="A68" s="12">
        <v>61</v>
      </c>
      <c r="B68" s="10" t="s">
        <v>146</v>
      </c>
      <c r="C68" s="14" t="s">
        <v>145</v>
      </c>
      <c r="D68" s="6">
        <v>2</v>
      </c>
      <c r="E68" s="8" t="s">
        <v>390</v>
      </c>
      <c r="F68" s="8">
        <v>3</v>
      </c>
      <c r="G68" s="66" t="s">
        <v>403</v>
      </c>
      <c r="H68" s="5"/>
      <c r="I68" s="28" t="s">
        <v>143</v>
      </c>
      <c r="J68" s="42">
        <v>0</v>
      </c>
      <c r="K68" s="47">
        <v>0</v>
      </c>
      <c r="L68" s="43"/>
      <c r="M68" s="43">
        <f>'Dados Detalhados'!$L$642</f>
        <v>5187.92</v>
      </c>
      <c r="N68" s="43">
        <v>0</v>
      </c>
      <c r="O68" s="78">
        <f t="shared" si="0"/>
        <v>5187.92</v>
      </c>
      <c r="P68" s="78"/>
      <c r="Q68" s="78"/>
      <c r="R68" s="78"/>
      <c r="S68" s="78"/>
      <c r="T68" s="78"/>
      <c r="U68" s="78"/>
      <c r="V68" s="78">
        <f t="shared" si="3"/>
        <v>5187.92</v>
      </c>
    </row>
    <row r="69" spans="1:22" ht="52.5" customHeight="1">
      <c r="A69" s="12">
        <v>62</v>
      </c>
      <c r="B69" s="10" t="s">
        <v>142</v>
      </c>
      <c r="C69" s="11" t="s">
        <v>141</v>
      </c>
      <c r="D69" s="16">
        <v>3</v>
      </c>
      <c r="E69" s="19" t="s">
        <v>390</v>
      </c>
      <c r="F69" s="19">
        <v>3</v>
      </c>
      <c r="G69" s="66" t="s">
        <v>401</v>
      </c>
      <c r="H69" s="5" t="s">
        <v>313</v>
      </c>
      <c r="I69" s="31" t="s">
        <v>107</v>
      </c>
      <c r="J69" s="229">
        <f>'Dados Detalhados'!$L$658</f>
        <v>4500</v>
      </c>
      <c r="K69" s="45">
        <f>'Dados Detalhados'!$L$658</f>
        <v>4500</v>
      </c>
      <c r="L69" s="45">
        <f>'Dados Detalhados'!$L$658</f>
        <v>4500</v>
      </c>
      <c r="M69" s="43">
        <v>0</v>
      </c>
      <c r="N69" s="43">
        <v>0</v>
      </c>
      <c r="O69" s="78">
        <f t="shared" ref="O69:O132" si="8">J69+K69+L69+M69+N69</f>
        <v>13500</v>
      </c>
      <c r="P69" s="78">
        <f t="shared" si="1"/>
        <v>13500</v>
      </c>
      <c r="Q69" s="78"/>
      <c r="R69" s="78"/>
      <c r="S69" s="78"/>
      <c r="T69" s="78"/>
      <c r="U69" s="78"/>
      <c r="V69" s="78"/>
    </row>
    <row r="70" spans="1:22" ht="52.5" customHeight="1">
      <c r="A70" s="12">
        <v>63</v>
      </c>
      <c r="B70" s="10" t="s">
        <v>140</v>
      </c>
      <c r="C70" s="14" t="s">
        <v>139</v>
      </c>
      <c r="D70" s="16">
        <v>1</v>
      </c>
      <c r="E70" s="8" t="s">
        <v>390</v>
      </c>
      <c r="F70" s="19">
        <v>3</v>
      </c>
      <c r="G70" s="66" t="s">
        <v>401</v>
      </c>
      <c r="H70" s="5" t="s">
        <v>312</v>
      </c>
      <c r="I70" s="28" t="s">
        <v>107</v>
      </c>
      <c r="J70" s="229">
        <f>'Dados Detalhados'!$L$661</f>
        <v>18604</v>
      </c>
      <c r="K70" s="44">
        <f>'Dados Detalhados'!$L$662</f>
        <v>0</v>
      </c>
      <c r="L70" s="224">
        <f>'Dados Detalhados'!$L$663</f>
        <v>13953</v>
      </c>
      <c r="M70" s="43">
        <f>'Dados Detalhados'!$L$664</f>
        <v>0</v>
      </c>
      <c r="N70" s="224">
        <f>'Dados Detalhados'!$L$665</f>
        <v>13953</v>
      </c>
      <c r="O70" s="78">
        <f t="shared" si="8"/>
        <v>46510</v>
      </c>
      <c r="P70" s="78">
        <f t="shared" si="1"/>
        <v>46510</v>
      </c>
      <c r="Q70" s="78"/>
      <c r="R70" s="78"/>
      <c r="S70" s="78"/>
      <c r="T70" s="78"/>
      <c r="U70" s="78"/>
      <c r="V70" s="78"/>
    </row>
    <row r="71" spans="1:22" ht="52.5" customHeight="1">
      <c r="A71" s="12">
        <v>64</v>
      </c>
      <c r="B71" s="10" t="s">
        <v>138</v>
      </c>
      <c r="C71" s="14" t="s">
        <v>335</v>
      </c>
      <c r="D71" s="16">
        <v>1</v>
      </c>
      <c r="E71" s="8" t="s">
        <v>390</v>
      </c>
      <c r="F71" s="19">
        <v>3</v>
      </c>
      <c r="G71" s="66" t="s">
        <v>401</v>
      </c>
      <c r="H71" s="5" t="s">
        <v>311</v>
      </c>
      <c r="I71" s="28" t="s">
        <v>107</v>
      </c>
      <c r="J71" s="224">
        <f>'Dados Detalhados'!$L$666</f>
        <v>18372</v>
      </c>
      <c r="K71" s="224">
        <f>'Dados Detalhados'!$L$666</f>
        <v>18372</v>
      </c>
      <c r="L71" s="224">
        <f>'Dados Detalhados'!$L$666</f>
        <v>18372</v>
      </c>
      <c r="M71" s="224">
        <f>'Dados Detalhados'!$L$666</f>
        <v>18372</v>
      </c>
      <c r="N71" s="224">
        <f>'Dados Detalhados'!$L$666</f>
        <v>18372</v>
      </c>
      <c r="O71" s="78">
        <f t="shared" si="8"/>
        <v>91860</v>
      </c>
      <c r="P71" s="78">
        <f t="shared" ref="P71:P134" si="9">+O71</f>
        <v>91860</v>
      </c>
      <c r="Q71" s="78"/>
      <c r="R71" s="78"/>
      <c r="S71" s="78"/>
      <c r="T71" s="78"/>
      <c r="U71" s="78"/>
      <c r="V71" s="78"/>
    </row>
    <row r="72" spans="1:22" ht="52.5" customHeight="1">
      <c r="A72" s="12">
        <v>65</v>
      </c>
      <c r="B72" s="20" t="s">
        <v>137</v>
      </c>
      <c r="C72" s="20" t="s">
        <v>136</v>
      </c>
      <c r="D72" s="16">
        <v>1</v>
      </c>
      <c r="E72" s="19" t="s">
        <v>390</v>
      </c>
      <c r="F72" s="19">
        <v>3</v>
      </c>
      <c r="G72" s="66" t="s">
        <v>401</v>
      </c>
      <c r="H72" s="7" t="s">
        <v>310</v>
      </c>
      <c r="I72" s="31" t="s">
        <v>107</v>
      </c>
      <c r="J72" s="229">
        <f>'Dados Detalhados'!$L$668</f>
        <v>5701.36</v>
      </c>
      <c r="K72" s="229">
        <f>'Dados Detalhados'!$L$668</f>
        <v>5701.36</v>
      </c>
      <c r="L72" s="229">
        <f>'Dados Detalhados'!$L$668</f>
        <v>5701.36</v>
      </c>
      <c r="M72" s="229">
        <f>'Dados Detalhados'!$L$668</f>
        <v>5701.36</v>
      </c>
      <c r="N72" s="229">
        <f>'Dados Detalhados'!$L$668</f>
        <v>5701.36</v>
      </c>
      <c r="O72" s="78">
        <f t="shared" si="8"/>
        <v>28506.799999999999</v>
      </c>
      <c r="P72" s="78">
        <f t="shared" si="9"/>
        <v>28506.799999999999</v>
      </c>
      <c r="Q72" s="78"/>
      <c r="R72" s="78"/>
      <c r="S72" s="78"/>
      <c r="T72" s="78"/>
      <c r="U72" s="78"/>
      <c r="V72" s="78"/>
    </row>
    <row r="73" spans="1:22" ht="52.5" customHeight="1">
      <c r="A73" s="12">
        <v>66</v>
      </c>
      <c r="B73" s="1" t="s">
        <v>135</v>
      </c>
      <c r="C73" s="20" t="s">
        <v>134</v>
      </c>
      <c r="D73" s="16">
        <v>1</v>
      </c>
      <c r="E73" s="19" t="s">
        <v>390</v>
      </c>
      <c r="F73" s="19">
        <v>3</v>
      </c>
      <c r="G73" s="66" t="s">
        <v>401</v>
      </c>
      <c r="H73" s="7"/>
      <c r="I73" s="31" t="s">
        <v>107</v>
      </c>
      <c r="J73" s="229">
        <f>'Dados Detalhados'!$L$671</f>
        <v>7701.97</v>
      </c>
      <c r="K73" s="229">
        <f>'Dados Detalhados'!$L$671</f>
        <v>7701.97</v>
      </c>
      <c r="L73" s="229">
        <f>'Dados Detalhados'!$L$671</f>
        <v>7701.97</v>
      </c>
      <c r="M73" s="229">
        <f>'Dados Detalhados'!$L$671</f>
        <v>7701.97</v>
      </c>
      <c r="N73" s="229">
        <f>'Dados Detalhados'!$L$671</f>
        <v>7701.97</v>
      </c>
      <c r="O73" s="78">
        <f t="shared" si="8"/>
        <v>38509.85</v>
      </c>
      <c r="P73" s="78">
        <f t="shared" si="9"/>
        <v>38509.85</v>
      </c>
      <c r="Q73" s="78"/>
      <c r="R73" s="78"/>
      <c r="S73" s="78"/>
      <c r="T73" s="78"/>
      <c r="U73" s="78"/>
      <c r="V73" s="78"/>
    </row>
    <row r="74" spans="1:22" ht="52.5" customHeight="1">
      <c r="A74" s="12">
        <v>67</v>
      </c>
      <c r="B74" s="10" t="s">
        <v>132</v>
      </c>
      <c r="C74" s="14" t="s">
        <v>131</v>
      </c>
      <c r="D74" s="16">
        <v>1</v>
      </c>
      <c r="E74" s="8" t="s">
        <v>390</v>
      </c>
      <c r="F74" s="19">
        <v>3</v>
      </c>
      <c r="G74" s="66" t="s">
        <v>401</v>
      </c>
      <c r="H74" s="9" t="s">
        <v>309</v>
      </c>
      <c r="I74" s="28" t="s">
        <v>107</v>
      </c>
      <c r="J74" s="224">
        <f>'Dados Detalhados'!$L$673</f>
        <v>7592.33</v>
      </c>
      <c r="K74" s="224">
        <f>'Dados Detalhados'!$L$673</f>
        <v>7592.33</v>
      </c>
      <c r="L74" s="224">
        <f>'Dados Detalhados'!$L$673</f>
        <v>7592.33</v>
      </c>
      <c r="M74" s="224">
        <f>'Dados Detalhados'!$L$673</f>
        <v>7592.33</v>
      </c>
      <c r="N74" s="224">
        <f>'Dados Detalhados'!$L$673</f>
        <v>7592.33</v>
      </c>
      <c r="O74" s="78">
        <f t="shared" si="8"/>
        <v>37961.65</v>
      </c>
      <c r="P74" s="78">
        <f t="shared" si="9"/>
        <v>37961.65</v>
      </c>
      <c r="Q74" s="78"/>
      <c r="R74" s="78"/>
      <c r="S74" s="78"/>
      <c r="T74" s="78"/>
      <c r="U74" s="78"/>
      <c r="V74" s="78"/>
    </row>
    <row r="75" spans="1:22" ht="52.5" customHeight="1">
      <c r="A75" s="12">
        <v>68</v>
      </c>
      <c r="B75" s="10" t="s">
        <v>130</v>
      </c>
      <c r="C75" s="14" t="s">
        <v>129</v>
      </c>
      <c r="D75" s="16">
        <v>2</v>
      </c>
      <c r="E75" s="8" t="s">
        <v>390</v>
      </c>
      <c r="F75" s="19">
        <v>3</v>
      </c>
      <c r="G75" s="66" t="s">
        <v>401</v>
      </c>
      <c r="H75" s="29" t="s">
        <v>308</v>
      </c>
      <c r="I75" s="28" t="s">
        <v>107</v>
      </c>
      <c r="J75" s="42">
        <v>0</v>
      </c>
      <c r="K75" s="47">
        <v>0</v>
      </c>
      <c r="L75" s="43">
        <f>'Dados Detalhados'!$L$676</f>
        <v>7622.22</v>
      </c>
      <c r="M75" s="43">
        <v>0</v>
      </c>
      <c r="N75" s="43">
        <v>0</v>
      </c>
      <c r="O75" s="78">
        <f t="shared" si="8"/>
        <v>7622.22</v>
      </c>
      <c r="P75" s="78"/>
      <c r="Q75" s="78"/>
      <c r="R75" s="78"/>
      <c r="S75" s="78"/>
      <c r="T75" s="78"/>
      <c r="U75" s="78"/>
      <c r="V75" s="78">
        <f t="shared" si="3"/>
        <v>7622.22</v>
      </c>
    </row>
    <row r="76" spans="1:22" ht="52.5" customHeight="1">
      <c r="A76" s="12">
        <v>69</v>
      </c>
      <c r="B76" s="10" t="s">
        <v>127</v>
      </c>
      <c r="C76" s="14" t="s">
        <v>126</v>
      </c>
      <c r="D76" s="16">
        <v>2</v>
      </c>
      <c r="E76" s="8" t="s">
        <v>390</v>
      </c>
      <c r="F76" s="19">
        <v>3</v>
      </c>
      <c r="G76" s="66" t="s">
        <v>401</v>
      </c>
      <c r="H76" s="29" t="s">
        <v>308</v>
      </c>
      <c r="I76" s="28" t="s">
        <v>107</v>
      </c>
      <c r="J76" s="42">
        <v>0</v>
      </c>
      <c r="K76" s="47">
        <v>0</v>
      </c>
      <c r="L76" s="43">
        <f>'Dados Detalhados'!$L$692</f>
        <v>7622.22</v>
      </c>
      <c r="M76" s="43">
        <f>'Dados Detalhados'!$L$692</f>
        <v>7622.22</v>
      </c>
      <c r="N76" s="43">
        <v>0</v>
      </c>
      <c r="O76" s="78">
        <f t="shared" si="8"/>
        <v>15244.44</v>
      </c>
      <c r="P76" s="78"/>
      <c r="Q76" s="78"/>
      <c r="R76" s="78"/>
      <c r="S76" s="78"/>
      <c r="T76" s="78"/>
      <c r="U76" s="78"/>
      <c r="V76" s="78">
        <f t="shared" ref="V76:V139" si="10">+O76</f>
        <v>15244.44</v>
      </c>
    </row>
    <row r="77" spans="1:22" ht="61.5" customHeight="1">
      <c r="A77" s="12">
        <v>70</v>
      </c>
      <c r="B77" s="10" t="s">
        <v>124</v>
      </c>
      <c r="C77" s="14" t="s">
        <v>125</v>
      </c>
      <c r="D77" s="16">
        <v>1</v>
      </c>
      <c r="E77" s="8" t="s">
        <v>390</v>
      </c>
      <c r="F77" s="19">
        <v>3</v>
      </c>
      <c r="G77" s="66" t="s">
        <v>401</v>
      </c>
      <c r="H77" s="5" t="s">
        <v>307</v>
      </c>
      <c r="I77" s="28" t="s">
        <v>107</v>
      </c>
      <c r="J77" s="224">
        <f>'Dados Detalhados'!$L$708</f>
        <v>5669.1900000000005</v>
      </c>
      <c r="K77" s="224">
        <f>'Dados Detalhados'!$L$708</f>
        <v>5669.1900000000005</v>
      </c>
      <c r="L77" s="43">
        <v>0</v>
      </c>
      <c r="M77" s="43">
        <v>0</v>
      </c>
      <c r="N77" s="43">
        <v>0</v>
      </c>
      <c r="O77" s="78">
        <f t="shared" si="8"/>
        <v>11338.380000000001</v>
      </c>
      <c r="P77" s="78">
        <f t="shared" si="9"/>
        <v>11338.380000000001</v>
      </c>
      <c r="Q77" s="78"/>
      <c r="R77" s="78"/>
      <c r="S77" s="78"/>
      <c r="T77" s="78"/>
      <c r="U77" s="78"/>
      <c r="V77" s="78"/>
    </row>
    <row r="78" spans="1:22" ht="52.5" customHeight="1">
      <c r="A78" s="12">
        <v>71</v>
      </c>
      <c r="B78" s="10" t="s">
        <v>123</v>
      </c>
      <c r="C78" s="14" t="s">
        <v>122</v>
      </c>
      <c r="D78" s="16">
        <v>2</v>
      </c>
      <c r="E78" s="8" t="s">
        <v>390</v>
      </c>
      <c r="F78" s="19">
        <v>3</v>
      </c>
      <c r="G78" s="66" t="s">
        <v>401</v>
      </c>
      <c r="H78" s="5" t="s">
        <v>307</v>
      </c>
      <c r="I78" s="28" t="s">
        <v>107</v>
      </c>
      <c r="J78" s="224">
        <f>'Dados Detalhados'!$L$724</f>
        <v>2708.33</v>
      </c>
      <c r="K78" s="224">
        <f>'Dados Detalhados'!$L$724</f>
        <v>2708.33</v>
      </c>
      <c r="L78" s="48">
        <f>'Dados Detalhados'!$L$724</f>
        <v>2708.33</v>
      </c>
      <c r="M78" s="48">
        <f>'Dados Detalhados'!$L$724</f>
        <v>2708.33</v>
      </c>
      <c r="N78" s="48">
        <f>'Dados Detalhados'!$L$724</f>
        <v>2708.33</v>
      </c>
      <c r="O78" s="78">
        <f t="shared" si="8"/>
        <v>13541.65</v>
      </c>
      <c r="P78" s="78">
        <f>SUM(J78,K78)</f>
        <v>5416.66</v>
      </c>
      <c r="Q78" s="78"/>
      <c r="R78" s="78"/>
      <c r="S78" s="78"/>
      <c r="T78" s="78">
        <f>SUM(L78:N78)</f>
        <v>8124.99</v>
      </c>
      <c r="U78" s="78"/>
      <c r="V78" s="78"/>
    </row>
    <row r="79" spans="1:22" ht="52.5" customHeight="1">
      <c r="A79" s="12">
        <v>72</v>
      </c>
      <c r="B79" s="10" t="s">
        <v>121</v>
      </c>
      <c r="C79" s="14" t="s">
        <v>392</v>
      </c>
      <c r="D79" s="16">
        <v>1</v>
      </c>
      <c r="E79" s="8" t="s">
        <v>390</v>
      </c>
      <c r="F79" s="19">
        <v>3</v>
      </c>
      <c r="G79" s="66" t="s">
        <v>401</v>
      </c>
      <c r="H79" s="5" t="s">
        <v>306</v>
      </c>
      <c r="I79" s="28" t="s">
        <v>107</v>
      </c>
      <c r="J79" s="42">
        <f>'Dados Detalhados'!$L$727</f>
        <v>7140</v>
      </c>
      <c r="K79" s="42">
        <f>'Dados Detalhados'!$L$727</f>
        <v>7140</v>
      </c>
      <c r="L79" s="42">
        <f>'Dados Detalhados'!$L$727</f>
        <v>7140</v>
      </c>
      <c r="M79" s="42">
        <f>'Dados Detalhados'!$L$727</f>
        <v>7140</v>
      </c>
      <c r="N79" s="42">
        <f>'Dados Detalhados'!$L$727</f>
        <v>7140</v>
      </c>
      <c r="O79" s="78">
        <f t="shared" si="8"/>
        <v>35700</v>
      </c>
      <c r="P79" s="78"/>
      <c r="Q79" s="78"/>
      <c r="R79" s="78"/>
      <c r="S79" s="78"/>
      <c r="T79" s="78"/>
      <c r="U79" s="78"/>
      <c r="V79" s="78">
        <f t="shared" si="10"/>
        <v>35700</v>
      </c>
    </row>
    <row r="80" spans="1:22" ht="52.5" customHeight="1">
      <c r="A80" s="12">
        <v>73</v>
      </c>
      <c r="B80" s="10" t="s">
        <v>120</v>
      </c>
      <c r="C80" s="14" t="s">
        <v>119</v>
      </c>
      <c r="D80" s="16">
        <v>2</v>
      </c>
      <c r="E80" s="8" t="s">
        <v>390</v>
      </c>
      <c r="F80" s="19">
        <v>3</v>
      </c>
      <c r="G80" s="66" t="s">
        <v>401</v>
      </c>
      <c r="H80" s="5" t="s">
        <v>305</v>
      </c>
      <c r="I80" s="28" t="s">
        <v>107</v>
      </c>
      <c r="J80" s="224">
        <f>'Dados Detalhados'!$L$729</f>
        <v>4161.3900000000003</v>
      </c>
      <c r="K80" s="47">
        <v>0</v>
      </c>
      <c r="L80" s="43">
        <v>0</v>
      </c>
      <c r="M80" s="43">
        <v>0</v>
      </c>
      <c r="N80" s="43">
        <v>0</v>
      </c>
      <c r="O80" s="78">
        <f t="shared" si="8"/>
        <v>4161.3900000000003</v>
      </c>
      <c r="P80" s="78"/>
      <c r="Q80" s="78"/>
      <c r="R80" s="78"/>
      <c r="S80" s="78"/>
      <c r="T80" s="78"/>
      <c r="U80" s="78"/>
      <c r="V80" s="78">
        <f t="shared" si="10"/>
        <v>4161.3900000000003</v>
      </c>
    </row>
    <row r="81" spans="1:22" ht="52.5" customHeight="1">
      <c r="A81" s="12">
        <v>74</v>
      </c>
      <c r="B81" s="10" t="s">
        <v>118</v>
      </c>
      <c r="C81" s="14" t="s">
        <v>117</v>
      </c>
      <c r="D81" s="16">
        <v>2</v>
      </c>
      <c r="E81" s="8" t="s">
        <v>390</v>
      </c>
      <c r="F81" s="19">
        <v>3</v>
      </c>
      <c r="G81" s="66" t="s">
        <v>401</v>
      </c>
      <c r="H81" s="5" t="s">
        <v>305</v>
      </c>
      <c r="I81" s="28" t="s">
        <v>107</v>
      </c>
      <c r="J81" s="42">
        <v>0</v>
      </c>
      <c r="K81" s="47">
        <v>0</v>
      </c>
      <c r="L81" s="229">
        <f>'Dados Detalhados'!$L$745</f>
        <v>20725.560000000001</v>
      </c>
      <c r="M81" s="43">
        <v>0</v>
      </c>
      <c r="N81" s="43">
        <v>0</v>
      </c>
      <c r="O81" s="78">
        <f t="shared" si="8"/>
        <v>20725.560000000001</v>
      </c>
      <c r="P81" s="78">
        <f t="shared" si="9"/>
        <v>20725.560000000001</v>
      </c>
      <c r="Q81" s="78"/>
      <c r="R81" s="78"/>
      <c r="S81" s="78"/>
      <c r="T81" s="78"/>
      <c r="U81" s="78"/>
      <c r="V81" s="78"/>
    </row>
    <row r="82" spans="1:22" ht="52.5" customHeight="1">
      <c r="A82" s="12">
        <v>75</v>
      </c>
      <c r="B82" s="10" t="s">
        <v>115</v>
      </c>
      <c r="C82" s="14" t="s">
        <v>114</v>
      </c>
      <c r="D82" s="16">
        <v>2</v>
      </c>
      <c r="E82" s="8" t="s">
        <v>390</v>
      </c>
      <c r="F82" s="19">
        <v>3</v>
      </c>
      <c r="G82" s="66" t="s">
        <v>401</v>
      </c>
      <c r="H82" s="5"/>
      <c r="I82" s="28" t="s">
        <v>107</v>
      </c>
      <c r="J82" s="42">
        <v>0</v>
      </c>
      <c r="K82" s="47">
        <v>0</v>
      </c>
      <c r="L82" s="231">
        <v>0</v>
      </c>
      <c r="M82" s="230">
        <f>'Dados Detalhados'!$L$761</f>
        <v>20725.560000000001</v>
      </c>
      <c r="N82" s="43">
        <v>0</v>
      </c>
      <c r="O82" s="78">
        <f t="shared" si="8"/>
        <v>20725.560000000001</v>
      </c>
      <c r="P82" s="78">
        <f t="shared" si="9"/>
        <v>20725.560000000001</v>
      </c>
      <c r="Q82" s="78"/>
      <c r="R82" s="78"/>
      <c r="S82" s="78"/>
      <c r="T82" s="78"/>
      <c r="U82" s="78"/>
      <c r="V82" s="78"/>
    </row>
    <row r="83" spans="1:22" ht="52.5" customHeight="1">
      <c r="A83" s="12">
        <v>76</v>
      </c>
      <c r="B83" s="10" t="s">
        <v>113</v>
      </c>
      <c r="C83" s="14" t="s">
        <v>112</v>
      </c>
      <c r="D83" s="16">
        <v>1</v>
      </c>
      <c r="E83" s="8" t="s">
        <v>390</v>
      </c>
      <c r="F83" s="19">
        <v>3</v>
      </c>
      <c r="G83" s="66" t="s">
        <v>401</v>
      </c>
      <c r="H83" s="5" t="s">
        <v>305</v>
      </c>
      <c r="I83" s="28" t="s">
        <v>107</v>
      </c>
      <c r="J83" s="224">
        <f>'Dados Detalhados'!$L$777</f>
        <v>3788.65</v>
      </c>
      <c r="K83" s="224">
        <f>'Dados Detalhados'!$L$777</f>
        <v>3788.65</v>
      </c>
      <c r="L83" s="224">
        <f>'Dados Detalhados'!$L$777</f>
        <v>3788.65</v>
      </c>
      <c r="M83" s="224">
        <f>'Dados Detalhados'!$L$777</f>
        <v>3788.65</v>
      </c>
      <c r="N83" s="224">
        <f>'Dados Detalhados'!$L$777</f>
        <v>3788.65</v>
      </c>
      <c r="O83" s="78">
        <f t="shared" si="8"/>
        <v>18943.25</v>
      </c>
      <c r="P83" s="78">
        <f t="shared" si="9"/>
        <v>18943.25</v>
      </c>
      <c r="Q83" s="78"/>
      <c r="R83" s="78"/>
      <c r="S83" s="78"/>
      <c r="T83" s="78"/>
      <c r="U83" s="78"/>
      <c r="V83" s="78"/>
    </row>
    <row r="84" spans="1:22" ht="52.5" customHeight="1">
      <c r="A84" s="12">
        <v>77</v>
      </c>
      <c r="B84" s="10" t="s">
        <v>111</v>
      </c>
      <c r="C84" s="14" t="s">
        <v>110</v>
      </c>
      <c r="D84" s="16">
        <v>1</v>
      </c>
      <c r="E84" s="8" t="s">
        <v>390</v>
      </c>
      <c r="F84" s="19">
        <v>3</v>
      </c>
      <c r="G84" s="66" t="s">
        <v>401</v>
      </c>
      <c r="H84" s="5"/>
      <c r="I84" s="28" t="s">
        <v>107</v>
      </c>
      <c r="J84" s="224">
        <f>'Dados Detalhados'!$L$791</f>
        <v>3070.2</v>
      </c>
      <c r="K84" s="224">
        <f>'Dados Detalhados'!$L$791</f>
        <v>3070.2</v>
      </c>
      <c r="L84" s="224">
        <f>'Dados Detalhados'!$L$791</f>
        <v>3070.2</v>
      </c>
      <c r="M84" s="224">
        <f>'Dados Detalhados'!$L$791</f>
        <v>3070.2</v>
      </c>
      <c r="N84" s="224">
        <f>'Dados Detalhados'!$L$791</f>
        <v>3070.2</v>
      </c>
      <c r="O84" s="78">
        <f t="shared" si="8"/>
        <v>15351</v>
      </c>
      <c r="P84" s="78">
        <f t="shared" si="9"/>
        <v>15351</v>
      </c>
      <c r="Q84" s="78"/>
      <c r="R84" s="78"/>
      <c r="S84" s="78"/>
      <c r="T84" s="78"/>
      <c r="U84" s="78"/>
      <c r="V84" s="78"/>
    </row>
    <row r="85" spans="1:22" ht="52.5" customHeight="1">
      <c r="A85" s="12">
        <v>78</v>
      </c>
      <c r="B85" s="10" t="s">
        <v>109</v>
      </c>
      <c r="C85" s="14" t="s">
        <v>108</v>
      </c>
      <c r="D85" s="16">
        <v>1</v>
      </c>
      <c r="E85" s="8" t="s">
        <v>390</v>
      </c>
      <c r="F85" s="19">
        <v>3</v>
      </c>
      <c r="G85" s="66" t="s">
        <v>401</v>
      </c>
      <c r="H85" s="5"/>
      <c r="I85" s="28" t="s">
        <v>107</v>
      </c>
      <c r="J85" s="42">
        <v>0</v>
      </c>
      <c r="K85" s="47">
        <v>0</v>
      </c>
      <c r="L85" s="224">
        <f>'Dados Detalhados'!$L$793</f>
        <v>5000</v>
      </c>
      <c r="M85" s="43">
        <v>0</v>
      </c>
      <c r="N85" s="43">
        <v>0</v>
      </c>
      <c r="O85" s="78">
        <f t="shared" si="8"/>
        <v>5000</v>
      </c>
      <c r="P85" s="78">
        <f t="shared" si="9"/>
        <v>5000</v>
      </c>
      <c r="Q85" s="78"/>
      <c r="R85" s="78"/>
      <c r="S85" s="78"/>
      <c r="T85" s="78"/>
      <c r="U85" s="78"/>
      <c r="V85" s="78"/>
    </row>
    <row r="86" spans="1:22" ht="52.5" customHeight="1">
      <c r="A86" s="12">
        <v>79</v>
      </c>
      <c r="B86" s="10" t="s">
        <v>106</v>
      </c>
      <c r="C86" s="14" t="s">
        <v>105</v>
      </c>
      <c r="D86" s="16">
        <v>1</v>
      </c>
      <c r="E86" s="8" t="s">
        <v>390</v>
      </c>
      <c r="F86" s="19">
        <v>3</v>
      </c>
      <c r="G86" s="66" t="s">
        <v>402</v>
      </c>
      <c r="H86" s="5" t="s">
        <v>304</v>
      </c>
      <c r="I86" s="28" t="s">
        <v>77</v>
      </c>
      <c r="J86" s="42">
        <v>0</v>
      </c>
      <c r="K86" s="229">
        <f>'Dados Detalhados'!$L$795</f>
        <v>20571.22</v>
      </c>
      <c r="L86" s="43">
        <v>0</v>
      </c>
      <c r="M86" s="43">
        <v>0</v>
      </c>
      <c r="N86" s="43">
        <v>0</v>
      </c>
      <c r="O86" s="78">
        <f t="shared" si="8"/>
        <v>20571.22</v>
      </c>
      <c r="P86" s="78">
        <f t="shared" si="9"/>
        <v>20571.22</v>
      </c>
      <c r="Q86" s="78"/>
      <c r="R86" s="78"/>
      <c r="S86" s="78"/>
      <c r="T86" s="78"/>
      <c r="U86" s="78"/>
      <c r="V86" s="78"/>
    </row>
    <row r="87" spans="1:22" ht="52.5" customHeight="1">
      <c r="A87" s="12">
        <v>80</v>
      </c>
      <c r="B87" s="10" t="s">
        <v>101</v>
      </c>
      <c r="C87" s="14" t="s">
        <v>104</v>
      </c>
      <c r="D87" s="16">
        <v>1</v>
      </c>
      <c r="E87" s="8" t="s">
        <v>390</v>
      </c>
      <c r="F87" s="19">
        <v>3</v>
      </c>
      <c r="G87" s="66" t="s">
        <v>402</v>
      </c>
      <c r="H87" s="5" t="s">
        <v>286</v>
      </c>
      <c r="I87" s="28" t="s">
        <v>77</v>
      </c>
      <c r="J87" s="232">
        <f>'Dados Detalhados'!$L$835</f>
        <v>3933</v>
      </c>
      <c r="K87" s="232">
        <f>'Dados Detalhados'!$L$836</f>
        <v>7222</v>
      </c>
      <c r="L87" s="233">
        <f>'Dados Detalhados'!$L$837</f>
        <v>8050</v>
      </c>
      <c r="M87" s="233">
        <f>'Dados Detalhados'!$L$838</f>
        <v>4370</v>
      </c>
      <c r="N87" s="233">
        <f>'Dados Detalhados'!$L$839</f>
        <v>9430</v>
      </c>
      <c r="O87" s="78">
        <f t="shared" si="8"/>
        <v>33005</v>
      </c>
      <c r="P87" s="78"/>
      <c r="Q87" s="78"/>
      <c r="R87" s="78"/>
      <c r="S87" s="78">
        <f t="shared" ref="S87:S132" si="11">+O87</f>
        <v>33005</v>
      </c>
      <c r="T87" s="78"/>
      <c r="U87" s="78"/>
      <c r="V87" s="78"/>
    </row>
    <row r="88" spans="1:22" ht="52.5" customHeight="1">
      <c r="A88" s="12">
        <v>81</v>
      </c>
      <c r="B88" s="10" t="s">
        <v>103</v>
      </c>
      <c r="C88" s="14" t="s">
        <v>102</v>
      </c>
      <c r="D88" s="16">
        <v>1</v>
      </c>
      <c r="E88" s="8" t="s">
        <v>390</v>
      </c>
      <c r="F88" s="19">
        <v>3</v>
      </c>
      <c r="G88" s="66" t="s">
        <v>402</v>
      </c>
      <c r="H88" s="5"/>
      <c r="I88" s="28" t="s">
        <v>77</v>
      </c>
      <c r="J88" s="233">
        <f>'Dados Detalhados'!$L$841</f>
        <v>640</v>
      </c>
      <c r="K88" s="233">
        <f>'Dados Detalhados'!$L$842</f>
        <v>448</v>
      </c>
      <c r="L88" s="233">
        <f>'Dados Detalhados'!$L$843</f>
        <v>1280</v>
      </c>
      <c r="M88" s="233">
        <f>'Dados Detalhados'!$L$844</f>
        <v>832</v>
      </c>
      <c r="N88" s="233">
        <f>'Dados Detalhados'!$L$845</f>
        <v>2304</v>
      </c>
      <c r="O88" s="78">
        <f t="shared" si="8"/>
        <v>5504</v>
      </c>
      <c r="P88" s="78"/>
      <c r="Q88" s="78"/>
      <c r="R88" s="78"/>
      <c r="S88" s="78">
        <f t="shared" si="11"/>
        <v>5504</v>
      </c>
      <c r="T88" s="78"/>
      <c r="U88" s="78"/>
      <c r="V88" s="78"/>
    </row>
    <row r="89" spans="1:22" ht="52.5" customHeight="1">
      <c r="A89" s="12">
        <v>82</v>
      </c>
      <c r="B89" s="10" t="s">
        <v>100</v>
      </c>
      <c r="C89" s="14" t="s">
        <v>99</v>
      </c>
      <c r="D89" s="16">
        <v>1</v>
      </c>
      <c r="E89" s="8" t="s">
        <v>390</v>
      </c>
      <c r="F89" s="19">
        <v>3</v>
      </c>
      <c r="G89" s="66" t="s">
        <v>402</v>
      </c>
      <c r="H89" s="5"/>
      <c r="I89" s="28" t="s">
        <v>77</v>
      </c>
      <c r="J89" s="233">
        <f>'Dados Detalhados'!$L$847</f>
        <v>132</v>
      </c>
      <c r="K89" s="233">
        <f>'Dados Detalhados'!$L$848</f>
        <v>66</v>
      </c>
      <c r="L89" s="233">
        <f>'Dados Detalhados'!$L$849</f>
        <v>132</v>
      </c>
      <c r="M89" s="233">
        <f>'Dados Detalhados'!$L$850</f>
        <v>110</v>
      </c>
      <c r="N89" s="233">
        <f>'Dados Detalhados'!$L$851</f>
        <v>220</v>
      </c>
      <c r="O89" s="78">
        <f t="shared" si="8"/>
        <v>660</v>
      </c>
      <c r="P89" s="78"/>
      <c r="Q89" s="78"/>
      <c r="R89" s="78"/>
      <c r="S89" s="78">
        <f t="shared" si="11"/>
        <v>660</v>
      </c>
      <c r="T89" s="78"/>
      <c r="U89" s="78"/>
      <c r="V89" s="78"/>
    </row>
    <row r="90" spans="1:22" ht="52.5" customHeight="1">
      <c r="A90" s="12">
        <v>83</v>
      </c>
      <c r="B90" s="18" t="s">
        <v>98</v>
      </c>
      <c r="C90" s="18" t="s">
        <v>97</v>
      </c>
      <c r="D90" s="16">
        <v>1</v>
      </c>
      <c r="E90" s="8" t="s">
        <v>390</v>
      </c>
      <c r="F90" s="19">
        <v>3</v>
      </c>
      <c r="G90" s="66" t="s">
        <v>402</v>
      </c>
      <c r="H90" s="17" t="s">
        <v>303</v>
      </c>
      <c r="I90" s="28" t="s">
        <v>77</v>
      </c>
      <c r="J90" s="42">
        <f>'Dados Detalhados'!$L$853</f>
        <v>0</v>
      </c>
      <c r="K90" s="224">
        <f>'Dados Detalhados'!$L$854</f>
        <v>658.41</v>
      </c>
      <c r="L90" s="224">
        <f>'Dados Detalhados'!$L$855</f>
        <v>1783.86</v>
      </c>
      <c r="M90" s="224">
        <f>'Dados Detalhados'!$L$856</f>
        <v>1134.3599999999999</v>
      </c>
      <c r="N90" s="224">
        <f>'Dados Detalhados'!$L$857</f>
        <v>3058.62</v>
      </c>
      <c r="O90" s="78">
        <f t="shared" si="8"/>
        <v>6635.25</v>
      </c>
      <c r="P90" s="78">
        <f t="shared" si="9"/>
        <v>6635.25</v>
      </c>
      <c r="Q90" s="78"/>
      <c r="R90" s="78"/>
      <c r="S90" s="78"/>
      <c r="T90" s="78"/>
      <c r="U90" s="78"/>
      <c r="V90" s="78"/>
    </row>
    <row r="91" spans="1:22" ht="52.5" customHeight="1">
      <c r="A91" s="12">
        <v>84</v>
      </c>
      <c r="B91" s="10" t="s">
        <v>96</v>
      </c>
      <c r="C91" s="14" t="s">
        <v>95</v>
      </c>
      <c r="D91" s="16">
        <v>2</v>
      </c>
      <c r="E91" s="8" t="s">
        <v>389</v>
      </c>
      <c r="F91" s="19">
        <v>2</v>
      </c>
      <c r="G91" s="66" t="s">
        <v>400</v>
      </c>
      <c r="H91" s="5" t="s">
        <v>302</v>
      </c>
      <c r="I91" s="28" t="s">
        <v>77</v>
      </c>
      <c r="J91" s="42">
        <v>0</v>
      </c>
      <c r="K91" s="47">
        <v>0</v>
      </c>
      <c r="L91" s="43">
        <f>'Dados Detalhados'!$L$874</f>
        <v>3182.41</v>
      </c>
      <c r="M91" s="43">
        <v>0</v>
      </c>
      <c r="N91" s="43">
        <v>0</v>
      </c>
      <c r="O91" s="78">
        <f t="shared" si="8"/>
        <v>3182.41</v>
      </c>
      <c r="P91" s="78"/>
      <c r="Q91" s="78"/>
      <c r="R91" s="78"/>
      <c r="S91" s="78"/>
      <c r="T91" s="78"/>
      <c r="U91" s="78"/>
      <c r="V91" s="78">
        <f t="shared" si="10"/>
        <v>3182.41</v>
      </c>
    </row>
    <row r="92" spans="1:22" ht="52.5" customHeight="1">
      <c r="A92" s="12">
        <v>85</v>
      </c>
      <c r="B92" s="10" t="s">
        <v>94</v>
      </c>
      <c r="C92" s="14" t="s">
        <v>93</v>
      </c>
      <c r="D92" s="16">
        <v>1</v>
      </c>
      <c r="E92" s="8" t="s">
        <v>389</v>
      </c>
      <c r="F92" s="19">
        <v>2</v>
      </c>
      <c r="G92" s="66" t="s">
        <v>400</v>
      </c>
      <c r="H92" s="5" t="s">
        <v>301</v>
      </c>
      <c r="I92" s="28" t="s">
        <v>77</v>
      </c>
      <c r="J92" s="224">
        <f>'Dados Detalhados'!$L$874</f>
        <v>3182.41</v>
      </c>
      <c r="K92" s="224">
        <f>'Dados Detalhados'!$L$874</f>
        <v>3182.41</v>
      </c>
      <c r="L92" s="42">
        <f>'Dados Detalhados'!$L$874</f>
        <v>3182.41</v>
      </c>
      <c r="M92" s="42">
        <f>'Dados Detalhados'!$L$874</f>
        <v>3182.41</v>
      </c>
      <c r="N92" s="42">
        <f>'Dados Detalhados'!$L$874</f>
        <v>3182.41</v>
      </c>
      <c r="O92" s="78">
        <f t="shared" si="8"/>
        <v>15912.05</v>
      </c>
      <c r="P92" s="78">
        <f t="shared" si="9"/>
        <v>15912.05</v>
      </c>
      <c r="Q92" s="78"/>
      <c r="R92" s="78"/>
      <c r="S92" s="78"/>
      <c r="T92" s="78"/>
      <c r="U92" s="78"/>
      <c r="V92" s="78"/>
    </row>
    <row r="93" spans="1:22" ht="52.5" customHeight="1">
      <c r="A93" s="12">
        <v>86</v>
      </c>
      <c r="B93" s="10" t="s">
        <v>92</v>
      </c>
      <c r="C93" s="14" t="s">
        <v>91</v>
      </c>
      <c r="D93" s="16">
        <v>1</v>
      </c>
      <c r="E93" s="8" t="s">
        <v>390</v>
      </c>
      <c r="F93" s="19">
        <v>3</v>
      </c>
      <c r="G93" s="66" t="s">
        <v>402</v>
      </c>
      <c r="H93" s="5" t="s">
        <v>300</v>
      </c>
      <c r="I93" s="28" t="s">
        <v>77</v>
      </c>
      <c r="J93" s="224">
        <f>'Dados Detalhados'!$L$886</f>
        <v>3070.2</v>
      </c>
      <c r="K93" s="224">
        <f>'Dados Detalhados'!$L$886</f>
        <v>3070.2</v>
      </c>
      <c r="L93" s="224">
        <f>'Dados Detalhados'!$L$886</f>
        <v>3070.2</v>
      </c>
      <c r="M93" s="224">
        <f>'Dados Detalhados'!$L$886</f>
        <v>3070.2</v>
      </c>
      <c r="N93" s="224">
        <f>'Dados Detalhados'!$L$886</f>
        <v>3070.2</v>
      </c>
      <c r="O93" s="78">
        <f t="shared" si="8"/>
        <v>15351</v>
      </c>
      <c r="P93" s="78">
        <f t="shared" si="9"/>
        <v>15351</v>
      </c>
      <c r="Q93" s="78"/>
      <c r="R93" s="78"/>
      <c r="S93" s="78"/>
      <c r="T93" s="78"/>
      <c r="U93" s="78"/>
      <c r="V93" s="78"/>
    </row>
    <row r="94" spans="1:22" ht="61.5" customHeight="1">
      <c r="A94" s="12">
        <v>87</v>
      </c>
      <c r="B94" s="10" t="s">
        <v>90</v>
      </c>
      <c r="C94" s="14" t="s">
        <v>89</v>
      </c>
      <c r="D94" s="16">
        <v>3</v>
      </c>
      <c r="E94" s="8" t="s">
        <v>390</v>
      </c>
      <c r="F94" s="19">
        <v>3</v>
      </c>
      <c r="G94" s="66" t="s">
        <v>404</v>
      </c>
      <c r="H94" s="5"/>
      <c r="I94" s="28" t="s">
        <v>77</v>
      </c>
      <c r="J94" s="42">
        <v>0</v>
      </c>
      <c r="K94" s="47">
        <v>0</v>
      </c>
      <c r="L94" s="224">
        <f>'Dados Detalhados'!$L$889</f>
        <v>11856.72</v>
      </c>
      <c r="M94" s="43">
        <v>0</v>
      </c>
      <c r="N94" s="43">
        <v>0</v>
      </c>
      <c r="O94" s="78">
        <f t="shared" si="8"/>
        <v>11856.72</v>
      </c>
      <c r="P94" s="78">
        <f t="shared" si="9"/>
        <v>11856.72</v>
      </c>
      <c r="Q94" s="78"/>
      <c r="R94" s="78"/>
      <c r="S94" s="78"/>
      <c r="T94" s="78"/>
      <c r="U94" s="78"/>
      <c r="V94" s="78"/>
    </row>
    <row r="95" spans="1:22" ht="52.5" customHeight="1">
      <c r="A95" s="12">
        <v>88</v>
      </c>
      <c r="B95" s="10" t="s">
        <v>87</v>
      </c>
      <c r="C95" s="14" t="s">
        <v>86</v>
      </c>
      <c r="D95" s="16">
        <v>3</v>
      </c>
      <c r="E95" s="8" t="s">
        <v>390</v>
      </c>
      <c r="F95" s="19">
        <v>3</v>
      </c>
      <c r="G95" s="66" t="s">
        <v>404</v>
      </c>
      <c r="H95" s="5"/>
      <c r="I95" s="28" t="s">
        <v>77</v>
      </c>
      <c r="J95" s="42">
        <v>0</v>
      </c>
      <c r="K95" s="47">
        <v>0</v>
      </c>
      <c r="L95" s="43"/>
      <c r="M95" s="43">
        <f>'Dados Detalhados'!$L$907</f>
        <v>11856.72</v>
      </c>
      <c r="N95" s="43">
        <v>0</v>
      </c>
      <c r="O95" s="78">
        <f t="shared" si="8"/>
        <v>11856.72</v>
      </c>
      <c r="P95" s="78"/>
      <c r="Q95" s="78"/>
      <c r="R95" s="78"/>
      <c r="S95" s="78"/>
      <c r="T95" s="78"/>
      <c r="U95" s="78"/>
      <c r="V95" s="78">
        <f t="shared" si="10"/>
        <v>11856.72</v>
      </c>
    </row>
    <row r="96" spans="1:22" ht="52.5" customHeight="1">
      <c r="A96" s="12">
        <v>89</v>
      </c>
      <c r="B96" s="10" t="s">
        <v>85</v>
      </c>
      <c r="C96" s="14" t="s">
        <v>84</v>
      </c>
      <c r="D96" s="16">
        <v>2</v>
      </c>
      <c r="E96" s="8" t="s">
        <v>390</v>
      </c>
      <c r="F96" s="19">
        <v>3</v>
      </c>
      <c r="G96" s="66" t="s">
        <v>402</v>
      </c>
      <c r="H96" s="5"/>
      <c r="I96" s="28" t="s">
        <v>77</v>
      </c>
      <c r="J96" s="42">
        <v>0</v>
      </c>
      <c r="K96" s="47">
        <f>'Dados Detalhados'!$L$925</f>
        <v>3000</v>
      </c>
      <c r="L96" s="47">
        <f>'Dados Detalhados'!$L$925</f>
        <v>3000</v>
      </c>
      <c r="M96" s="47">
        <f>'Dados Detalhados'!$L$925</f>
        <v>3000</v>
      </c>
      <c r="N96" s="47">
        <f>'Dados Detalhados'!$L$925</f>
        <v>3000</v>
      </c>
      <c r="O96" s="78">
        <f t="shared" si="8"/>
        <v>12000</v>
      </c>
      <c r="P96" s="78"/>
      <c r="Q96" s="78"/>
      <c r="R96" s="78"/>
      <c r="S96" s="78"/>
      <c r="T96" s="78"/>
      <c r="U96" s="78"/>
      <c r="V96" s="78">
        <f t="shared" si="10"/>
        <v>12000</v>
      </c>
    </row>
    <row r="97" spans="1:22" ht="62.25" customHeight="1">
      <c r="A97" s="12">
        <v>90</v>
      </c>
      <c r="B97" s="10" t="s">
        <v>83</v>
      </c>
      <c r="C97" s="14" t="s">
        <v>82</v>
      </c>
      <c r="D97" s="16">
        <v>1</v>
      </c>
      <c r="E97" s="8" t="s">
        <v>390</v>
      </c>
      <c r="F97" s="19">
        <v>3</v>
      </c>
      <c r="G97" s="66" t="s">
        <v>402</v>
      </c>
      <c r="H97" s="5"/>
      <c r="I97" s="28" t="s">
        <v>77</v>
      </c>
      <c r="J97" s="42">
        <v>0</v>
      </c>
      <c r="K97" s="47">
        <f>'Dados Detalhados'!$L$928</f>
        <v>6143.39</v>
      </c>
      <c r="L97" s="47"/>
      <c r="M97" s="47">
        <f>'Dados Detalhados'!$L$928</f>
        <v>6143.39</v>
      </c>
      <c r="N97" s="43">
        <v>0</v>
      </c>
      <c r="O97" s="78">
        <f t="shared" si="8"/>
        <v>12286.78</v>
      </c>
      <c r="P97" s="78"/>
      <c r="Q97" s="78"/>
      <c r="R97" s="78"/>
      <c r="S97" s="78"/>
      <c r="T97" s="78"/>
      <c r="U97" s="78"/>
      <c r="V97" s="78">
        <f t="shared" si="10"/>
        <v>12286.78</v>
      </c>
    </row>
    <row r="98" spans="1:22" ht="52.5" customHeight="1">
      <c r="A98" s="12">
        <v>91</v>
      </c>
      <c r="B98" s="10" t="s">
        <v>81</v>
      </c>
      <c r="C98" s="14" t="s">
        <v>80</v>
      </c>
      <c r="D98" s="16">
        <v>1</v>
      </c>
      <c r="E98" s="8" t="s">
        <v>390</v>
      </c>
      <c r="F98" s="19">
        <v>3</v>
      </c>
      <c r="G98" s="66" t="s">
        <v>402</v>
      </c>
      <c r="H98" s="5"/>
      <c r="I98" s="28" t="s">
        <v>77</v>
      </c>
      <c r="J98" s="42">
        <v>0</v>
      </c>
      <c r="K98" s="47">
        <f>'Dados Detalhados'!$L$944</f>
        <v>9806.06</v>
      </c>
      <c r="L98" s="47"/>
      <c r="M98" s="47">
        <f>'Dados Detalhados'!$L$944</f>
        <v>9806.06</v>
      </c>
      <c r="N98" s="43">
        <v>0</v>
      </c>
      <c r="O98" s="78">
        <f t="shared" si="8"/>
        <v>19612.12</v>
      </c>
      <c r="P98" s="78"/>
      <c r="Q98" s="78"/>
      <c r="R98" s="78"/>
      <c r="S98" s="78"/>
      <c r="T98" s="78"/>
      <c r="U98" s="78"/>
      <c r="V98" s="78">
        <f t="shared" si="10"/>
        <v>19612.12</v>
      </c>
    </row>
    <row r="99" spans="1:22" ht="52.5" customHeight="1">
      <c r="A99" s="12">
        <v>92</v>
      </c>
      <c r="B99" s="10" t="s">
        <v>79</v>
      </c>
      <c r="C99" s="14" t="s">
        <v>78</v>
      </c>
      <c r="D99" s="6">
        <v>1</v>
      </c>
      <c r="E99" s="8" t="s">
        <v>390</v>
      </c>
      <c r="F99" s="19">
        <v>3</v>
      </c>
      <c r="G99" s="66" t="s">
        <v>402</v>
      </c>
      <c r="H99" s="5"/>
      <c r="I99" s="28" t="s">
        <v>77</v>
      </c>
      <c r="J99" s="42">
        <f>'Dados Detalhados'!$L$961</f>
        <v>0</v>
      </c>
      <c r="K99" s="48">
        <f>'Dados Detalhados'!$L$962</f>
        <v>2500</v>
      </c>
      <c r="L99" s="48">
        <f>'Dados Detalhados'!$L$963</f>
        <v>2500</v>
      </c>
      <c r="M99" s="48">
        <f>'Dados Detalhados'!$L$964</f>
        <v>2500</v>
      </c>
      <c r="N99" s="48">
        <f>'Dados Detalhados'!$L$965</f>
        <v>2500</v>
      </c>
      <c r="O99" s="78">
        <f t="shared" si="8"/>
        <v>10000</v>
      </c>
      <c r="P99" s="78"/>
      <c r="Q99" s="78"/>
      <c r="R99" s="78"/>
      <c r="S99" s="78"/>
      <c r="T99" s="78">
        <f t="shared" ref="T99:T132" si="12">+O99</f>
        <v>10000</v>
      </c>
      <c r="U99" s="78"/>
      <c r="V99" s="78"/>
    </row>
    <row r="100" spans="1:22" ht="52.5" customHeight="1">
      <c r="A100" s="12">
        <v>93</v>
      </c>
      <c r="B100" s="10" t="s">
        <v>76</v>
      </c>
      <c r="C100" s="10" t="s">
        <v>75</v>
      </c>
      <c r="D100" s="15">
        <v>1</v>
      </c>
      <c r="E100" s="8" t="s">
        <v>42</v>
      </c>
      <c r="F100" s="8">
        <v>4</v>
      </c>
      <c r="G100" s="67" t="s">
        <v>406</v>
      </c>
      <c r="H100" s="9" t="s">
        <v>299</v>
      </c>
      <c r="I100" s="28" t="s">
        <v>41</v>
      </c>
      <c r="J100" s="42">
        <f>'Dados Detalhados'!$L$966</f>
        <v>0</v>
      </c>
      <c r="K100" s="42">
        <f>'Dados Detalhados'!$L$966</f>
        <v>0</v>
      </c>
      <c r="L100" s="42">
        <f>'Dados Detalhados'!$L$966</f>
        <v>0</v>
      </c>
      <c r="M100" s="42">
        <f>'Dados Detalhados'!$L$966</f>
        <v>0</v>
      </c>
      <c r="N100" s="42">
        <f>'Dados Detalhados'!$L$966</f>
        <v>0</v>
      </c>
      <c r="O100" s="78">
        <f t="shared" si="8"/>
        <v>0</v>
      </c>
      <c r="P100" s="78">
        <f t="shared" si="9"/>
        <v>0</v>
      </c>
      <c r="Q100" s="78">
        <f t="shared" ref="Q100:Q132" si="13">+O100</f>
        <v>0</v>
      </c>
      <c r="R100" s="78">
        <f t="shared" ref="R100:R132" si="14">+O100</f>
        <v>0</v>
      </c>
      <c r="S100" s="78">
        <f t="shared" si="11"/>
        <v>0</v>
      </c>
      <c r="T100" s="78">
        <f t="shared" si="12"/>
        <v>0</v>
      </c>
      <c r="U100" s="78"/>
      <c r="V100" s="78">
        <f t="shared" si="10"/>
        <v>0</v>
      </c>
    </row>
    <row r="101" spans="1:22" ht="52.5" customHeight="1">
      <c r="A101" s="12">
        <v>94</v>
      </c>
      <c r="B101" s="10" t="s">
        <v>74</v>
      </c>
      <c r="C101" s="10" t="s">
        <v>73</v>
      </c>
      <c r="D101" s="15">
        <v>1</v>
      </c>
      <c r="E101" s="8" t="s">
        <v>42</v>
      </c>
      <c r="F101" s="8">
        <v>4</v>
      </c>
      <c r="G101" s="67" t="s">
        <v>406</v>
      </c>
      <c r="H101" s="9" t="s">
        <v>298</v>
      </c>
      <c r="I101" s="28" t="s">
        <v>41</v>
      </c>
      <c r="J101" s="42">
        <f>'Dados Detalhados'!$L$968</f>
        <v>9921.6575000000012</v>
      </c>
      <c r="K101" s="47">
        <v>0</v>
      </c>
      <c r="L101" s="43">
        <v>0</v>
      </c>
      <c r="M101" s="43">
        <v>0</v>
      </c>
      <c r="N101" s="43">
        <v>0</v>
      </c>
      <c r="O101" s="78">
        <f t="shared" si="8"/>
        <v>9921.6575000000012</v>
      </c>
      <c r="P101" s="78"/>
      <c r="Q101" s="78"/>
      <c r="R101" s="78"/>
      <c r="S101" s="78"/>
      <c r="T101" s="78"/>
      <c r="U101" s="78"/>
      <c r="V101" s="78">
        <f t="shared" si="10"/>
        <v>9921.6575000000012</v>
      </c>
    </row>
    <row r="102" spans="1:22" ht="52.5" customHeight="1">
      <c r="A102" s="12">
        <v>95</v>
      </c>
      <c r="B102" s="10" t="s">
        <v>72</v>
      </c>
      <c r="C102" s="10" t="s">
        <v>71</v>
      </c>
      <c r="D102" s="15">
        <v>1</v>
      </c>
      <c r="E102" s="8" t="s">
        <v>42</v>
      </c>
      <c r="F102" s="8">
        <v>4</v>
      </c>
      <c r="G102" s="67" t="s">
        <v>406</v>
      </c>
      <c r="H102" s="9" t="s">
        <v>297</v>
      </c>
      <c r="I102" s="28" t="s">
        <v>41</v>
      </c>
      <c r="J102" s="42">
        <f>'Dados Detalhados'!$L$996</f>
        <v>0</v>
      </c>
      <c r="K102" s="42">
        <f>'Dados Detalhados'!$L$996</f>
        <v>0</v>
      </c>
      <c r="L102" s="42">
        <f>'Dados Detalhados'!$L$996</f>
        <v>0</v>
      </c>
      <c r="M102" s="42">
        <f>'Dados Detalhados'!$L$996</f>
        <v>0</v>
      </c>
      <c r="N102" s="42">
        <f>'Dados Detalhados'!$L$996</f>
        <v>0</v>
      </c>
      <c r="O102" s="78">
        <f t="shared" si="8"/>
        <v>0</v>
      </c>
      <c r="P102" s="78">
        <f t="shared" si="9"/>
        <v>0</v>
      </c>
      <c r="Q102" s="78">
        <f t="shared" si="13"/>
        <v>0</v>
      </c>
      <c r="R102" s="78">
        <f t="shared" si="14"/>
        <v>0</v>
      </c>
      <c r="S102" s="78">
        <f t="shared" si="11"/>
        <v>0</v>
      </c>
      <c r="T102" s="78">
        <f t="shared" si="12"/>
        <v>0</v>
      </c>
      <c r="U102" s="78"/>
      <c r="V102" s="78">
        <f t="shared" si="10"/>
        <v>0</v>
      </c>
    </row>
    <row r="103" spans="1:22" ht="52.5" customHeight="1">
      <c r="A103" s="12">
        <v>96</v>
      </c>
      <c r="B103" s="10" t="s">
        <v>70</v>
      </c>
      <c r="C103" s="10" t="s">
        <v>69</v>
      </c>
      <c r="D103" s="15">
        <v>1</v>
      </c>
      <c r="E103" s="8" t="s">
        <v>42</v>
      </c>
      <c r="F103" s="8">
        <v>4</v>
      </c>
      <c r="G103" s="67" t="s">
        <v>406</v>
      </c>
      <c r="H103" s="9" t="s">
        <v>296</v>
      </c>
      <c r="I103" s="28" t="s">
        <v>41</v>
      </c>
      <c r="J103" s="224">
        <f>'Dados Detalhados'!$L$1000</f>
        <v>366.67</v>
      </c>
      <c r="K103" s="224">
        <f>'Dados Detalhados'!$L$1000</f>
        <v>366.67</v>
      </c>
      <c r="L103" s="224">
        <f>'Dados Detalhados'!$L$1000</f>
        <v>366.67</v>
      </c>
      <c r="M103" s="224">
        <f>'Dados Detalhados'!$L$1000</f>
        <v>366.67</v>
      </c>
      <c r="N103" s="224">
        <f>'Dados Detalhados'!$L$1000</f>
        <v>366.67</v>
      </c>
      <c r="O103" s="78">
        <f t="shared" si="8"/>
        <v>1833.3500000000001</v>
      </c>
      <c r="P103" s="78">
        <f t="shared" si="9"/>
        <v>1833.3500000000001</v>
      </c>
      <c r="Q103" s="78"/>
      <c r="R103" s="78"/>
      <c r="S103" s="78"/>
      <c r="T103" s="78"/>
      <c r="U103" s="78"/>
      <c r="V103" s="78"/>
    </row>
    <row r="104" spans="1:22" ht="52.5" customHeight="1">
      <c r="A104" s="12">
        <v>97</v>
      </c>
      <c r="B104" s="10" t="s">
        <v>68</v>
      </c>
      <c r="C104" s="14" t="s">
        <v>67</v>
      </c>
      <c r="D104" s="15">
        <v>1</v>
      </c>
      <c r="E104" s="8" t="s">
        <v>42</v>
      </c>
      <c r="F104" s="8">
        <v>4</v>
      </c>
      <c r="G104" s="67" t="s">
        <v>405</v>
      </c>
      <c r="H104" s="5" t="s">
        <v>295</v>
      </c>
      <c r="I104" s="28" t="s">
        <v>41</v>
      </c>
      <c r="J104" s="48">
        <f>'Dados Detalhados'!$L$1006</f>
        <v>1878</v>
      </c>
      <c r="K104" s="48">
        <f>'Dados Detalhados'!$L$1007</f>
        <v>943</v>
      </c>
      <c r="L104" s="48">
        <f>'Dados Detalhados'!$L$1008</f>
        <v>951</v>
      </c>
      <c r="M104" s="48">
        <f>'Dados Detalhados'!$L$1009</f>
        <v>963</v>
      </c>
      <c r="N104" s="48">
        <f>'Dados Detalhados'!$L$1010</f>
        <v>975</v>
      </c>
      <c r="O104" s="78">
        <f t="shared" si="8"/>
        <v>5710</v>
      </c>
      <c r="P104" s="78"/>
      <c r="Q104" s="78"/>
      <c r="R104" s="78"/>
      <c r="S104" s="78"/>
      <c r="T104" s="78">
        <f t="shared" si="12"/>
        <v>5710</v>
      </c>
      <c r="U104" s="78"/>
      <c r="V104" s="78"/>
    </row>
    <row r="105" spans="1:22" ht="52.5" customHeight="1">
      <c r="A105" s="12">
        <v>98</v>
      </c>
      <c r="B105" s="13" t="s">
        <v>66</v>
      </c>
      <c r="C105" s="13" t="s">
        <v>65</v>
      </c>
      <c r="D105" s="15">
        <v>1</v>
      </c>
      <c r="E105" s="8" t="s">
        <v>42</v>
      </c>
      <c r="F105" s="8">
        <v>4</v>
      </c>
      <c r="G105" s="67" t="s">
        <v>405</v>
      </c>
      <c r="H105" s="7" t="s">
        <v>294</v>
      </c>
      <c r="I105" s="28" t="s">
        <v>41</v>
      </c>
      <c r="J105" s="42"/>
      <c r="K105" s="47">
        <f>'Dados Detalhados'!$L$1011</f>
        <v>1262.48</v>
      </c>
      <c r="L105" s="47">
        <f>'Dados Detalhados'!$L$1011</f>
        <v>1262.48</v>
      </c>
      <c r="M105" s="47">
        <f>'Dados Detalhados'!$L$1011</f>
        <v>1262.48</v>
      </c>
      <c r="N105" s="47">
        <f>'Dados Detalhados'!$L$1011</f>
        <v>1262.48</v>
      </c>
      <c r="O105" s="78">
        <f t="shared" si="8"/>
        <v>5049.92</v>
      </c>
      <c r="P105" s="78"/>
      <c r="Q105" s="78"/>
      <c r="R105" s="78"/>
      <c r="S105" s="78"/>
      <c r="T105" s="78"/>
      <c r="U105" s="78"/>
      <c r="V105" s="78">
        <f t="shared" si="10"/>
        <v>5049.92</v>
      </c>
    </row>
    <row r="106" spans="1:22" ht="52.5" customHeight="1">
      <c r="A106" s="12">
        <v>99</v>
      </c>
      <c r="B106" s="10" t="s">
        <v>64</v>
      </c>
      <c r="C106" s="10" t="s">
        <v>63</v>
      </c>
      <c r="D106" s="15">
        <v>1</v>
      </c>
      <c r="E106" s="8" t="s">
        <v>42</v>
      </c>
      <c r="F106" s="8">
        <v>4</v>
      </c>
      <c r="G106" s="67" t="s">
        <v>406</v>
      </c>
      <c r="H106" s="9"/>
      <c r="I106" s="28" t="s">
        <v>41</v>
      </c>
      <c r="J106" s="42">
        <f>'Dados Detalhados'!$L$1013</f>
        <v>0</v>
      </c>
      <c r="K106" s="42">
        <f>'Dados Detalhados'!$L$1013</f>
        <v>0</v>
      </c>
      <c r="L106" s="42">
        <f>'Dados Detalhados'!$L$1013</f>
        <v>0</v>
      </c>
      <c r="M106" s="42">
        <f>'Dados Detalhados'!$L$1013</f>
        <v>0</v>
      </c>
      <c r="N106" s="42">
        <f>'Dados Detalhados'!$L$1013</f>
        <v>0</v>
      </c>
      <c r="O106" s="78">
        <f t="shared" si="8"/>
        <v>0</v>
      </c>
      <c r="P106" s="78"/>
      <c r="Q106" s="78"/>
      <c r="R106" s="78"/>
      <c r="S106" s="78"/>
      <c r="T106" s="78"/>
      <c r="U106" s="78"/>
      <c r="V106" s="78">
        <f t="shared" si="10"/>
        <v>0</v>
      </c>
    </row>
    <row r="107" spans="1:22" ht="52.5" customHeight="1">
      <c r="A107" s="12">
        <v>100</v>
      </c>
      <c r="B107" s="10" t="s">
        <v>62</v>
      </c>
      <c r="C107" s="10" t="s">
        <v>61</v>
      </c>
      <c r="D107" s="15">
        <v>1</v>
      </c>
      <c r="E107" s="8" t="s">
        <v>42</v>
      </c>
      <c r="F107" s="8">
        <v>4</v>
      </c>
      <c r="G107" s="67" t="s">
        <v>406</v>
      </c>
      <c r="H107" s="9" t="s">
        <v>293</v>
      </c>
      <c r="I107" s="28" t="s">
        <v>41</v>
      </c>
      <c r="J107" s="42">
        <f>'Dados Detalhados'!$L$1016</f>
        <v>0</v>
      </c>
      <c r="K107" s="42">
        <f>'Dados Detalhados'!$L$1016</f>
        <v>0</v>
      </c>
      <c r="L107" s="42">
        <f>'Dados Detalhados'!$L$1016</f>
        <v>0</v>
      </c>
      <c r="M107" s="42">
        <f>'Dados Detalhados'!$L$1016</f>
        <v>0</v>
      </c>
      <c r="N107" s="42">
        <f>'Dados Detalhados'!$L$1016</f>
        <v>0</v>
      </c>
      <c r="O107" s="78">
        <f t="shared" si="8"/>
        <v>0</v>
      </c>
      <c r="P107" s="78"/>
      <c r="Q107" s="78"/>
      <c r="R107" s="78"/>
      <c r="S107" s="78"/>
      <c r="T107" s="78"/>
      <c r="U107" s="78"/>
      <c r="V107" s="78">
        <f t="shared" si="10"/>
        <v>0</v>
      </c>
    </row>
    <row r="108" spans="1:22" ht="52.5" customHeight="1">
      <c r="A108" s="12">
        <v>101</v>
      </c>
      <c r="B108" s="10" t="s">
        <v>60</v>
      </c>
      <c r="C108" s="10" t="s">
        <v>59</v>
      </c>
      <c r="D108" s="15">
        <v>1</v>
      </c>
      <c r="E108" s="8" t="s">
        <v>42</v>
      </c>
      <c r="F108" s="8">
        <v>4</v>
      </c>
      <c r="G108" s="67" t="s">
        <v>405</v>
      </c>
      <c r="H108" s="9" t="s">
        <v>292</v>
      </c>
      <c r="I108" s="28" t="s">
        <v>41</v>
      </c>
      <c r="J108" s="42">
        <f>'Dados Detalhados'!$L$1021</f>
        <v>0</v>
      </c>
      <c r="K108" s="48">
        <f>'Dados Detalhados'!$L$1022</f>
        <v>2598.5216</v>
      </c>
      <c r="L108" s="48">
        <f>'Dados Detalhados'!$L$1023</f>
        <v>2621.6928999999996</v>
      </c>
      <c r="M108" s="48">
        <f>'Dados Detalhados'!$L$1024</f>
        <v>2621.6928999999996</v>
      </c>
      <c r="N108" s="48">
        <f>'Dados Detalhados'!$L$1025</f>
        <v>2621.6928999999996</v>
      </c>
      <c r="O108" s="78">
        <f t="shared" si="8"/>
        <v>10463.6003</v>
      </c>
      <c r="P108" s="78"/>
      <c r="Q108" s="78"/>
      <c r="R108" s="78"/>
      <c r="S108" s="78"/>
      <c r="T108" s="78">
        <f t="shared" si="12"/>
        <v>10463.6003</v>
      </c>
      <c r="U108" s="78"/>
      <c r="V108" s="78"/>
    </row>
    <row r="109" spans="1:22" ht="52.5" customHeight="1">
      <c r="A109" s="12">
        <v>102</v>
      </c>
      <c r="B109" s="14" t="s">
        <v>58</v>
      </c>
      <c r="C109" s="14" t="s">
        <v>57</v>
      </c>
      <c r="D109" s="15">
        <v>1</v>
      </c>
      <c r="E109" s="8" t="s">
        <v>42</v>
      </c>
      <c r="F109" s="8">
        <v>4</v>
      </c>
      <c r="G109" s="67" t="s">
        <v>405</v>
      </c>
      <c r="H109" s="5" t="s">
        <v>291</v>
      </c>
      <c r="I109" s="28" t="s">
        <v>41</v>
      </c>
      <c r="J109" s="42">
        <f>'Dados Detalhados'!$L$1026</f>
        <v>0</v>
      </c>
      <c r="K109" s="42">
        <f>'Dados Detalhados'!$L$1026</f>
        <v>0</v>
      </c>
      <c r="L109" s="42">
        <f>'Dados Detalhados'!$L$1026</f>
        <v>0</v>
      </c>
      <c r="M109" s="42">
        <f>'Dados Detalhados'!$L$1026</f>
        <v>0</v>
      </c>
      <c r="N109" s="42">
        <f>'Dados Detalhados'!$L$1026</f>
        <v>0</v>
      </c>
      <c r="O109" s="78">
        <f t="shared" si="8"/>
        <v>0</v>
      </c>
      <c r="P109" s="78">
        <f t="shared" si="9"/>
        <v>0</v>
      </c>
      <c r="Q109" s="78">
        <f t="shared" si="13"/>
        <v>0</v>
      </c>
      <c r="R109" s="78">
        <f t="shared" si="14"/>
        <v>0</v>
      </c>
      <c r="S109" s="78">
        <f t="shared" si="11"/>
        <v>0</v>
      </c>
      <c r="T109" s="78">
        <f t="shared" si="12"/>
        <v>0</v>
      </c>
      <c r="U109" s="78"/>
      <c r="V109" s="78">
        <f t="shared" si="10"/>
        <v>0</v>
      </c>
    </row>
    <row r="110" spans="1:22" ht="52.5" customHeight="1">
      <c r="A110" s="12">
        <v>103</v>
      </c>
      <c r="B110" s="10" t="s">
        <v>56</v>
      </c>
      <c r="C110" s="14" t="s">
        <v>55</v>
      </c>
      <c r="D110" s="15">
        <v>1</v>
      </c>
      <c r="E110" s="8" t="s">
        <v>42</v>
      </c>
      <c r="F110" s="8">
        <v>4</v>
      </c>
      <c r="G110" s="67" t="s">
        <v>406</v>
      </c>
      <c r="H110" s="5"/>
      <c r="I110" s="28" t="s">
        <v>41</v>
      </c>
      <c r="J110" s="42">
        <v>0</v>
      </c>
      <c r="K110" s="224">
        <f>'Dados Detalhados'!$L$1029</f>
        <v>9994.2199999999993</v>
      </c>
      <c r="L110" s="43">
        <v>0</v>
      </c>
      <c r="M110" s="43">
        <v>0</v>
      </c>
      <c r="N110" s="43">
        <v>0</v>
      </c>
      <c r="O110" s="78">
        <f t="shared" si="8"/>
        <v>9994.2199999999993</v>
      </c>
      <c r="P110" s="78">
        <f t="shared" si="9"/>
        <v>9994.2199999999993</v>
      </c>
      <c r="Q110" s="78"/>
      <c r="R110" s="78"/>
      <c r="S110" s="78"/>
      <c r="T110" s="78"/>
      <c r="U110" s="78"/>
      <c r="V110" s="78"/>
    </row>
    <row r="111" spans="1:22" ht="52.5" customHeight="1">
      <c r="A111" s="12">
        <v>104</v>
      </c>
      <c r="B111" s="10" t="s">
        <v>54</v>
      </c>
      <c r="C111" s="14" t="s">
        <v>53</v>
      </c>
      <c r="D111" s="15">
        <v>1</v>
      </c>
      <c r="E111" s="8" t="s">
        <v>42</v>
      </c>
      <c r="F111" s="8">
        <v>4</v>
      </c>
      <c r="G111" s="67" t="s">
        <v>406</v>
      </c>
      <c r="H111" s="5"/>
      <c r="I111" s="28" t="s">
        <v>41</v>
      </c>
      <c r="J111" s="42">
        <v>0</v>
      </c>
      <c r="K111" s="47">
        <v>0</v>
      </c>
      <c r="L111" s="43"/>
      <c r="M111" s="224">
        <f>'Dados Detalhados'!$L$1045</f>
        <v>9994.2199999999993</v>
      </c>
      <c r="N111" s="43">
        <v>0</v>
      </c>
      <c r="O111" s="78">
        <f t="shared" si="8"/>
        <v>9994.2199999999993</v>
      </c>
      <c r="P111" s="78">
        <f t="shared" si="9"/>
        <v>9994.2199999999993</v>
      </c>
      <c r="Q111" s="78"/>
      <c r="R111" s="78"/>
      <c r="S111" s="78"/>
      <c r="T111" s="78"/>
      <c r="U111" s="78"/>
      <c r="V111" s="78"/>
    </row>
    <row r="112" spans="1:22" ht="52.5" customHeight="1">
      <c r="A112" s="12">
        <v>105</v>
      </c>
      <c r="B112" s="10" t="s">
        <v>52</v>
      </c>
      <c r="C112" s="14" t="s">
        <v>51</v>
      </c>
      <c r="D112" s="15">
        <v>1</v>
      </c>
      <c r="E112" s="8" t="s">
        <v>42</v>
      </c>
      <c r="F112" s="8">
        <v>4</v>
      </c>
      <c r="G112" s="67" t="s">
        <v>405</v>
      </c>
      <c r="H112" s="5"/>
      <c r="I112" s="28" t="s">
        <v>41</v>
      </c>
      <c r="J112" s="42">
        <f>'Dados Detalhados'!$L$1061</f>
        <v>0</v>
      </c>
      <c r="K112" s="42">
        <f>'Dados Detalhados'!$L$1061</f>
        <v>0</v>
      </c>
      <c r="L112" s="42">
        <f>'Dados Detalhados'!$L$1061</f>
        <v>0</v>
      </c>
      <c r="M112" s="42">
        <f>'Dados Detalhados'!$L$1061</f>
        <v>0</v>
      </c>
      <c r="N112" s="42">
        <f>'Dados Detalhados'!$L$1061</f>
        <v>0</v>
      </c>
      <c r="O112" s="78">
        <f t="shared" si="8"/>
        <v>0</v>
      </c>
      <c r="P112" s="78">
        <f t="shared" si="9"/>
        <v>0</v>
      </c>
      <c r="Q112" s="78">
        <f t="shared" si="13"/>
        <v>0</v>
      </c>
      <c r="R112" s="78">
        <f t="shared" si="14"/>
        <v>0</v>
      </c>
      <c r="S112" s="78">
        <f t="shared" si="11"/>
        <v>0</v>
      </c>
      <c r="T112" s="78">
        <f t="shared" si="12"/>
        <v>0</v>
      </c>
      <c r="U112" s="78"/>
      <c r="V112" s="78">
        <f t="shared" si="10"/>
        <v>0</v>
      </c>
    </row>
    <row r="113" spans="1:22" ht="52.5" customHeight="1">
      <c r="A113" s="12">
        <v>106</v>
      </c>
      <c r="B113" s="10" t="s">
        <v>50</v>
      </c>
      <c r="C113" s="14" t="s">
        <v>49</v>
      </c>
      <c r="D113" s="15">
        <v>1</v>
      </c>
      <c r="E113" s="8" t="s">
        <v>42</v>
      </c>
      <c r="F113" s="8">
        <v>4</v>
      </c>
      <c r="G113" s="67" t="s">
        <v>405</v>
      </c>
      <c r="H113" s="5"/>
      <c r="I113" s="28" t="s">
        <v>41</v>
      </c>
      <c r="J113" s="42">
        <f>'Dados Detalhados'!$L$1063</f>
        <v>0</v>
      </c>
      <c r="K113" s="42">
        <f>'Dados Detalhados'!$L$1063</f>
        <v>0</v>
      </c>
      <c r="L113" s="42">
        <f>'Dados Detalhados'!$L$1063</f>
        <v>0</v>
      </c>
      <c r="M113" s="42">
        <f>'Dados Detalhados'!$L$1063</f>
        <v>0</v>
      </c>
      <c r="N113" s="42">
        <f>'Dados Detalhados'!$L$1063</f>
        <v>0</v>
      </c>
      <c r="O113" s="78">
        <f t="shared" si="8"/>
        <v>0</v>
      </c>
      <c r="P113" s="78">
        <f t="shared" si="9"/>
        <v>0</v>
      </c>
      <c r="Q113" s="78">
        <f t="shared" si="13"/>
        <v>0</v>
      </c>
      <c r="R113" s="78">
        <f t="shared" si="14"/>
        <v>0</v>
      </c>
      <c r="S113" s="78">
        <f t="shared" si="11"/>
        <v>0</v>
      </c>
      <c r="T113" s="78">
        <f t="shared" si="12"/>
        <v>0</v>
      </c>
      <c r="U113" s="78"/>
      <c r="V113" s="78">
        <f t="shared" si="10"/>
        <v>0</v>
      </c>
    </row>
    <row r="114" spans="1:22" ht="52.5" customHeight="1">
      <c r="A114" s="12">
        <v>107</v>
      </c>
      <c r="B114" s="10" t="s">
        <v>48</v>
      </c>
      <c r="C114" s="14" t="s">
        <v>47</v>
      </c>
      <c r="D114" s="15">
        <v>1</v>
      </c>
      <c r="E114" s="8" t="s">
        <v>42</v>
      </c>
      <c r="F114" s="8">
        <v>4</v>
      </c>
      <c r="G114" s="67" t="s">
        <v>405</v>
      </c>
      <c r="H114" s="5"/>
      <c r="I114" s="28" t="s">
        <v>41</v>
      </c>
      <c r="J114" s="42">
        <f>'Dados Detalhados'!$L$1065</f>
        <v>0</v>
      </c>
      <c r="K114" s="42">
        <f>'Dados Detalhados'!$L$1065</f>
        <v>0</v>
      </c>
      <c r="L114" s="42">
        <f>'Dados Detalhados'!$L$1065</f>
        <v>0</v>
      </c>
      <c r="M114" s="42">
        <f>'Dados Detalhados'!$L$1065</f>
        <v>0</v>
      </c>
      <c r="N114" s="42">
        <f>'Dados Detalhados'!$L$1065</f>
        <v>0</v>
      </c>
      <c r="O114" s="78">
        <f t="shared" si="8"/>
        <v>0</v>
      </c>
      <c r="P114" s="78">
        <f t="shared" si="9"/>
        <v>0</v>
      </c>
      <c r="Q114" s="78">
        <f t="shared" si="13"/>
        <v>0</v>
      </c>
      <c r="R114" s="78">
        <f t="shared" si="14"/>
        <v>0</v>
      </c>
      <c r="S114" s="78">
        <f t="shared" si="11"/>
        <v>0</v>
      </c>
      <c r="T114" s="78">
        <f t="shared" si="12"/>
        <v>0</v>
      </c>
      <c r="U114" s="78"/>
      <c r="V114" s="78">
        <f t="shared" si="10"/>
        <v>0</v>
      </c>
    </row>
    <row r="115" spans="1:22" ht="52.5" customHeight="1">
      <c r="A115" s="12">
        <v>108</v>
      </c>
      <c r="B115" s="10" t="s">
        <v>46</v>
      </c>
      <c r="C115" s="14" t="s">
        <v>45</v>
      </c>
      <c r="D115" s="15">
        <v>1</v>
      </c>
      <c r="E115" s="8" t="s">
        <v>42</v>
      </c>
      <c r="F115" s="8">
        <v>4</v>
      </c>
      <c r="G115" s="67" t="s">
        <v>406</v>
      </c>
      <c r="H115" s="5"/>
      <c r="I115" s="28" t="s">
        <v>41</v>
      </c>
      <c r="J115" s="42">
        <f>'Dados Detalhados'!$L$1067</f>
        <v>2000</v>
      </c>
      <c r="K115" s="42">
        <f>'Dados Detalhados'!$L$1067</f>
        <v>2000</v>
      </c>
      <c r="L115" s="42">
        <f>'Dados Detalhados'!$L$1067</f>
        <v>2000</v>
      </c>
      <c r="M115" s="42">
        <f>'Dados Detalhados'!$L$1067</f>
        <v>2000</v>
      </c>
      <c r="N115" s="42">
        <f>'Dados Detalhados'!$L$1067</f>
        <v>2000</v>
      </c>
      <c r="O115" s="78">
        <f t="shared" si="8"/>
        <v>10000</v>
      </c>
      <c r="P115" s="78"/>
      <c r="Q115" s="78"/>
      <c r="R115" s="78"/>
      <c r="S115" s="78"/>
      <c r="T115" s="78"/>
      <c r="U115" s="78"/>
      <c r="V115" s="78">
        <f t="shared" si="10"/>
        <v>10000</v>
      </c>
    </row>
    <row r="116" spans="1:22" ht="52.5" customHeight="1">
      <c r="A116" s="12">
        <v>109</v>
      </c>
      <c r="B116" s="26" t="s">
        <v>44</v>
      </c>
      <c r="C116" s="14" t="s">
        <v>43</v>
      </c>
      <c r="D116" s="15">
        <v>1</v>
      </c>
      <c r="E116" s="8" t="s">
        <v>42</v>
      </c>
      <c r="F116" s="8">
        <v>4</v>
      </c>
      <c r="G116" s="67" t="s">
        <v>406</v>
      </c>
      <c r="H116" s="5"/>
      <c r="I116" s="28" t="s">
        <v>41</v>
      </c>
      <c r="J116" s="42">
        <v>0</v>
      </c>
      <c r="K116" s="48">
        <f>'Dados Detalhados'!$L$1069</f>
        <v>9830.6575000000012</v>
      </c>
      <c r="L116" s="43">
        <v>0</v>
      </c>
      <c r="M116" s="43">
        <v>0</v>
      </c>
      <c r="N116" s="43">
        <v>0</v>
      </c>
      <c r="O116" s="78">
        <f t="shared" si="8"/>
        <v>9830.6575000000012</v>
      </c>
      <c r="P116" s="78"/>
      <c r="Q116" s="78"/>
      <c r="R116" s="78"/>
      <c r="S116" s="78"/>
      <c r="T116" s="78">
        <f t="shared" si="12"/>
        <v>9830.6575000000012</v>
      </c>
      <c r="U116" s="78"/>
      <c r="V116" s="78"/>
    </row>
    <row r="117" spans="1:22" ht="52.5" customHeight="1">
      <c r="A117" s="12">
        <v>110</v>
      </c>
      <c r="B117" s="10" t="s">
        <v>40</v>
      </c>
      <c r="C117" s="14" t="s">
        <v>39</v>
      </c>
      <c r="D117" s="6">
        <v>1</v>
      </c>
      <c r="E117" s="8" t="s">
        <v>4</v>
      </c>
      <c r="F117" s="8">
        <v>5</v>
      </c>
      <c r="G117" s="66" t="s">
        <v>410</v>
      </c>
      <c r="H117" s="5" t="s">
        <v>290</v>
      </c>
      <c r="I117" s="28" t="s">
        <v>3</v>
      </c>
      <c r="J117" s="42">
        <v>0</v>
      </c>
      <c r="K117" s="47">
        <v>0</v>
      </c>
      <c r="L117" s="43">
        <v>0</v>
      </c>
      <c r="M117" s="224">
        <f>'Dados Detalhados'!$L$1097</f>
        <v>2070.59</v>
      </c>
      <c r="N117" s="43">
        <v>0</v>
      </c>
      <c r="O117" s="78">
        <f t="shared" si="8"/>
        <v>2070.59</v>
      </c>
      <c r="P117" s="78">
        <f t="shared" si="9"/>
        <v>2070.59</v>
      </c>
      <c r="Q117" s="78"/>
      <c r="R117" s="78"/>
      <c r="S117" s="78"/>
      <c r="T117" s="78"/>
      <c r="U117" s="78"/>
      <c r="V117" s="78"/>
    </row>
    <row r="118" spans="1:22" ht="52.5" customHeight="1">
      <c r="A118" s="12">
        <v>111</v>
      </c>
      <c r="B118" s="10" t="s">
        <v>38</v>
      </c>
      <c r="C118" s="14" t="s">
        <v>37</v>
      </c>
      <c r="D118" s="6">
        <v>1</v>
      </c>
      <c r="E118" s="8" t="s">
        <v>4</v>
      </c>
      <c r="F118" s="8">
        <v>5</v>
      </c>
      <c r="G118" s="66" t="s">
        <v>410</v>
      </c>
      <c r="H118" s="5" t="s">
        <v>289</v>
      </c>
      <c r="I118" s="28" t="s">
        <v>3</v>
      </c>
      <c r="J118" s="42">
        <v>0</v>
      </c>
      <c r="K118" s="230">
        <f>'Dados Detalhados'!$L$1110</f>
        <v>42999.999999999993</v>
      </c>
      <c r="L118" s="43">
        <v>0</v>
      </c>
      <c r="M118" s="43">
        <v>0</v>
      </c>
      <c r="N118" s="43">
        <v>0</v>
      </c>
      <c r="O118" s="78">
        <f t="shared" si="8"/>
        <v>42999.999999999993</v>
      </c>
      <c r="P118" s="78">
        <f t="shared" si="9"/>
        <v>42999.999999999993</v>
      </c>
      <c r="Q118" s="78"/>
      <c r="R118" s="78"/>
      <c r="S118" s="78"/>
      <c r="T118" s="78"/>
      <c r="U118" s="78"/>
      <c r="V118" s="78"/>
    </row>
    <row r="119" spans="1:22" ht="52.5" customHeight="1">
      <c r="A119" s="12">
        <v>112</v>
      </c>
      <c r="B119" s="10" t="s">
        <v>36</v>
      </c>
      <c r="C119" s="14" t="s">
        <v>903</v>
      </c>
      <c r="D119" s="6">
        <v>2</v>
      </c>
      <c r="E119" s="8" t="s">
        <v>4</v>
      </c>
      <c r="F119" s="8">
        <v>5</v>
      </c>
      <c r="G119" s="66" t="s">
        <v>410</v>
      </c>
      <c r="H119" s="5" t="s">
        <v>288</v>
      </c>
      <c r="I119" s="28" t="s">
        <v>3</v>
      </c>
      <c r="J119" s="42">
        <v>0</v>
      </c>
      <c r="K119" s="47">
        <v>0</v>
      </c>
      <c r="L119" s="224">
        <f>'Dados Detalhados'!$L$1138</f>
        <v>4411.3900000000003</v>
      </c>
      <c r="M119" s="224">
        <f>'Dados Detalhados'!$L$1138</f>
        <v>4411.3900000000003</v>
      </c>
      <c r="N119" s="43">
        <v>0</v>
      </c>
      <c r="O119" s="78">
        <f t="shared" si="8"/>
        <v>8822.7800000000007</v>
      </c>
      <c r="P119" s="78">
        <f t="shared" si="9"/>
        <v>8822.7800000000007</v>
      </c>
      <c r="Q119" s="78"/>
      <c r="R119" s="78"/>
      <c r="S119" s="78"/>
      <c r="T119" s="78"/>
      <c r="U119" s="78"/>
      <c r="V119" s="78"/>
    </row>
    <row r="120" spans="1:22" ht="52.5" customHeight="1">
      <c r="A120" s="12">
        <v>113</v>
      </c>
      <c r="B120" s="10" t="s">
        <v>33</v>
      </c>
      <c r="C120" s="14" t="s">
        <v>32</v>
      </c>
      <c r="D120" s="6">
        <v>1</v>
      </c>
      <c r="E120" s="8" t="s">
        <v>4</v>
      </c>
      <c r="F120" s="8">
        <v>5</v>
      </c>
      <c r="G120" s="66" t="s">
        <v>407</v>
      </c>
      <c r="H120" s="9" t="s">
        <v>288</v>
      </c>
      <c r="I120" s="28" t="s">
        <v>3</v>
      </c>
      <c r="J120" s="42">
        <v>0</v>
      </c>
      <c r="K120" s="224"/>
      <c r="L120" s="226">
        <f>'Dados Detalhados'!$L$1154</f>
        <v>38152</v>
      </c>
      <c r="M120" s="43">
        <v>0</v>
      </c>
      <c r="N120" s="43">
        <v>0</v>
      </c>
      <c r="O120" s="78">
        <f t="shared" si="8"/>
        <v>38152</v>
      </c>
      <c r="P120" s="78">
        <f>+L120/2</f>
        <v>19076</v>
      </c>
      <c r="Q120" s="78">
        <f>+L120/2</f>
        <v>19076</v>
      </c>
      <c r="R120" s="78"/>
      <c r="S120" s="78"/>
      <c r="T120" s="78"/>
      <c r="U120" s="78"/>
      <c r="V120" s="78"/>
    </row>
    <row r="121" spans="1:22" ht="52.5" customHeight="1">
      <c r="A121" s="12">
        <v>114</v>
      </c>
      <c r="B121" s="10" t="s">
        <v>31</v>
      </c>
      <c r="C121" s="14" t="s">
        <v>30</v>
      </c>
      <c r="D121" s="6">
        <v>1</v>
      </c>
      <c r="E121" s="8" t="s">
        <v>4</v>
      </c>
      <c r="F121" s="8">
        <v>5</v>
      </c>
      <c r="G121" s="66" t="s">
        <v>407</v>
      </c>
      <c r="H121" s="5" t="s">
        <v>287</v>
      </c>
      <c r="I121" s="28" t="s">
        <v>3</v>
      </c>
      <c r="J121" s="42">
        <v>0</v>
      </c>
      <c r="K121" s="42">
        <f>'Dados Detalhados'!$L$1161</f>
        <v>563554.69999999995</v>
      </c>
      <c r="L121" s="42">
        <f>'Dados Detalhados'!$L$1162</f>
        <v>563554.69999999995</v>
      </c>
      <c r="M121" s="43">
        <v>0</v>
      </c>
      <c r="N121" s="43">
        <v>0</v>
      </c>
      <c r="O121" s="78">
        <f t="shared" si="8"/>
        <v>1127109.3999999999</v>
      </c>
      <c r="P121" s="78"/>
      <c r="Q121" s="78">
        <f t="shared" si="13"/>
        <v>1127109.3999999999</v>
      </c>
      <c r="R121" s="78"/>
      <c r="S121" s="78"/>
      <c r="T121" s="78"/>
      <c r="U121" s="78"/>
      <c r="V121" s="78"/>
    </row>
    <row r="122" spans="1:22" ht="52.5" customHeight="1">
      <c r="A122" s="12">
        <v>115</v>
      </c>
      <c r="B122" s="10" t="s">
        <v>29</v>
      </c>
      <c r="C122" s="59" t="s">
        <v>28</v>
      </c>
      <c r="D122" s="58">
        <v>1</v>
      </c>
      <c r="E122" s="57" t="s">
        <v>4</v>
      </c>
      <c r="F122" s="8">
        <v>5</v>
      </c>
      <c r="G122" s="66" t="s">
        <v>407</v>
      </c>
      <c r="H122" s="5" t="s">
        <v>286</v>
      </c>
      <c r="I122" s="28" t="s">
        <v>3</v>
      </c>
      <c r="J122" s="22">
        <f>'Dados Detalhados'!$L$1166</f>
        <v>0</v>
      </c>
      <c r="K122" s="22">
        <f>'Dados Detalhados'!$L$1167</f>
        <v>0</v>
      </c>
      <c r="L122" s="234">
        <f>'Dados Detalhados'!$L$1168</f>
        <v>35499.599999999999</v>
      </c>
      <c r="M122" s="234">
        <f>'Dados Detalhados'!$L$1169</f>
        <v>21897</v>
      </c>
      <c r="N122" s="234">
        <f>'Dados Detalhados'!$L$1170</f>
        <v>22942</v>
      </c>
      <c r="O122" s="78">
        <f t="shared" si="8"/>
        <v>80338.600000000006</v>
      </c>
      <c r="P122" s="78">
        <f t="shared" si="9"/>
        <v>80338.600000000006</v>
      </c>
      <c r="Q122" s="78"/>
      <c r="R122" s="78"/>
      <c r="S122" s="78"/>
      <c r="T122" s="78"/>
      <c r="U122" s="78"/>
      <c r="V122" s="78"/>
    </row>
    <row r="123" spans="1:22" ht="52.5" customHeight="1">
      <c r="A123" s="12">
        <v>116</v>
      </c>
      <c r="B123" s="11" t="s">
        <v>27</v>
      </c>
      <c r="C123" s="11" t="s">
        <v>26</v>
      </c>
      <c r="D123" s="6">
        <v>1</v>
      </c>
      <c r="E123" s="8" t="s">
        <v>4</v>
      </c>
      <c r="F123" s="8">
        <v>5</v>
      </c>
      <c r="G123" s="66" t="s">
        <v>407</v>
      </c>
      <c r="H123" s="5" t="s">
        <v>286</v>
      </c>
      <c r="I123" s="28" t="s">
        <v>3</v>
      </c>
      <c r="J123" s="22">
        <f>'Dados Detalhados'!$L$1172</f>
        <v>0</v>
      </c>
      <c r="K123" s="22">
        <f>'Dados Detalhados'!$L$1173</f>
        <v>0</v>
      </c>
      <c r="L123" s="235">
        <f>'Dados Detalhados'!$L$1174</f>
        <v>12480</v>
      </c>
      <c r="M123" s="235">
        <f>'Dados Detalhados'!$L$1175</f>
        <v>14400</v>
      </c>
      <c r="N123" s="234">
        <f>'Dados Detalhados'!$L$1176</f>
        <v>19680</v>
      </c>
      <c r="O123" s="78">
        <f t="shared" si="8"/>
        <v>46560</v>
      </c>
      <c r="P123" s="78">
        <f>+N123</f>
        <v>19680</v>
      </c>
      <c r="Q123" s="78">
        <f>SUM(L123:M123)</f>
        <v>26880</v>
      </c>
      <c r="R123" s="78"/>
      <c r="S123" s="78"/>
      <c r="T123" s="78"/>
      <c r="U123" s="78"/>
      <c r="V123" s="78"/>
    </row>
    <row r="124" spans="1:22" ht="52.5" customHeight="1">
      <c r="A124" s="12">
        <v>117</v>
      </c>
      <c r="B124" s="11" t="s">
        <v>25</v>
      </c>
      <c r="C124" s="11" t="s">
        <v>24</v>
      </c>
      <c r="D124" s="6">
        <v>3</v>
      </c>
      <c r="E124" s="8" t="s">
        <v>4</v>
      </c>
      <c r="F124" s="8">
        <v>5</v>
      </c>
      <c r="G124" s="66" t="s">
        <v>407</v>
      </c>
      <c r="H124" s="5" t="s">
        <v>285</v>
      </c>
      <c r="I124" s="28" t="s">
        <v>3</v>
      </c>
      <c r="J124" s="224">
        <f>'Dados Detalhados'!$L$1177</f>
        <v>1003.33</v>
      </c>
      <c r="K124" s="224">
        <f>'Dados Detalhados'!$L$1177</f>
        <v>1003.33</v>
      </c>
      <c r="L124" s="224">
        <f>'Dados Detalhados'!$L$1177</f>
        <v>1003.33</v>
      </c>
      <c r="M124" s="224">
        <f>'Dados Detalhados'!$L$1177</f>
        <v>1003.33</v>
      </c>
      <c r="N124" s="224">
        <f>'Dados Detalhados'!$L$1177</f>
        <v>1003.33</v>
      </c>
      <c r="O124" s="78">
        <f t="shared" si="8"/>
        <v>5016.6500000000005</v>
      </c>
      <c r="P124" s="78">
        <f t="shared" si="9"/>
        <v>5016.6500000000005</v>
      </c>
      <c r="Q124" s="78"/>
      <c r="R124" s="78"/>
      <c r="S124" s="78"/>
      <c r="T124" s="78"/>
      <c r="U124" s="78"/>
      <c r="V124" s="78"/>
    </row>
    <row r="125" spans="1:22" ht="52.5" customHeight="1">
      <c r="A125" s="12">
        <v>118</v>
      </c>
      <c r="B125" s="1" t="s">
        <v>23</v>
      </c>
      <c r="C125" s="1" t="s">
        <v>22</v>
      </c>
      <c r="D125" s="6">
        <v>2</v>
      </c>
      <c r="E125" s="8" t="s">
        <v>4</v>
      </c>
      <c r="F125" s="8">
        <v>5</v>
      </c>
      <c r="G125" s="66" t="s">
        <v>410</v>
      </c>
      <c r="H125" s="7" t="s">
        <v>284</v>
      </c>
      <c r="I125" s="28" t="s">
        <v>3</v>
      </c>
      <c r="J125" s="42">
        <f>'Dados Detalhados'!$L$1179</f>
        <v>0</v>
      </c>
      <c r="K125" s="42">
        <f>'Dados Detalhados'!$L$1179</f>
        <v>0</v>
      </c>
      <c r="L125" s="42">
        <f>'Dados Detalhados'!$L$1179</f>
        <v>0</v>
      </c>
      <c r="M125" s="42">
        <f>'Dados Detalhados'!$L$1179</f>
        <v>0</v>
      </c>
      <c r="N125" s="42">
        <f>'Dados Detalhados'!$L$1179</f>
        <v>0</v>
      </c>
      <c r="O125" s="78">
        <f t="shared" si="8"/>
        <v>0</v>
      </c>
      <c r="P125" s="78">
        <f t="shared" si="9"/>
        <v>0</v>
      </c>
      <c r="Q125" s="78">
        <f t="shared" si="13"/>
        <v>0</v>
      </c>
      <c r="R125" s="78">
        <f t="shared" si="14"/>
        <v>0</v>
      </c>
      <c r="S125" s="78">
        <f t="shared" si="11"/>
        <v>0</v>
      </c>
      <c r="T125" s="78">
        <f t="shared" si="12"/>
        <v>0</v>
      </c>
      <c r="U125" s="78"/>
      <c r="V125" s="78">
        <f t="shared" si="10"/>
        <v>0</v>
      </c>
    </row>
    <row r="126" spans="1:22" ht="52.5" customHeight="1">
      <c r="A126" s="12">
        <v>119</v>
      </c>
      <c r="B126" s="11" t="s">
        <v>21</v>
      </c>
      <c r="C126" s="11" t="s">
        <v>20</v>
      </c>
      <c r="D126" s="6">
        <v>1</v>
      </c>
      <c r="E126" s="8" t="s">
        <v>4</v>
      </c>
      <c r="F126" s="8">
        <v>5</v>
      </c>
      <c r="G126" s="66" t="s">
        <v>402</v>
      </c>
      <c r="H126" s="5" t="s">
        <v>283</v>
      </c>
      <c r="I126" s="28" t="s">
        <v>3</v>
      </c>
      <c r="J126" s="224">
        <f>'Dados Detalhados'!$L$1183</f>
        <v>7269</v>
      </c>
      <c r="K126" s="224">
        <f>'Dados Detalhados'!$L$1184</f>
        <v>16515</v>
      </c>
      <c r="L126" s="224">
        <f>'Dados Detalhados'!$L$1185</f>
        <v>19345</v>
      </c>
      <c r="M126" s="224">
        <f>'Dados Detalhados'!$L$1186</f>
        <v>19674</v>
      </c>
      <c r="N126" s="224">
        <f>'Dados Detalhados'!$L$1187</f>
        <v>35363</v>
      </c>
      <c r="O126" s="78">
        <f t="shared" si="8"/>
        <v>98166</v>
      </c>
      <c r="P126" s="78">
        <f t="shared" si="9"/>
        <v>98166</v>
      </c>
      <c r="Q126" s="78"/>
      <c r="R126" s="78"/>
      <c r="S126" s="78"/>
      <c r="T126" s="78"/>
      <c r="U126" s="78"/>
      <c r="V126" s="78"/>
    </row>
    <row r="127" spans="1:22" ht="52.5" customHeight="1">
      <c r="A127" s="12"/>
      <c r="B127" s="11" t="s">
        <v>854</v>
      </c>
      <c r="C127" s="11" t="s">
        <v>855</v>
      </c>
      <c r="D127" s="6">
        <v>1</v>
      </c>
      <c r="E127" s="8" t="s">
        <v>4</v>
      </c>
      <c r="F127" s="8">
        <v>6</v>
      </c>
      <c r="G127" s="66" t="s">
        <v>402</v>
      </c>
      <c r="H127" s="5"/>
      <c r="I127" s="28"/>
      <c r="J127" s="48">
        <f>'Dados Detalhados'!$L$1188</f>
        <v>238.1</v>
      </c>
      <c r="K127" s="48">
        <f>'Dados Detalhados'!$L$1188</f>
        <v>238.1</v>
      </c>
      <c r="L127" s="48">
        <f>'Dados Detalhados'!$L$1188</f>
        <v>238.1</v>
      </c>
      <c r="M127" s="48">
        <f>'Dados Detalhados'!$L$1188</f>
        <v>238.1</v>
      </c>
      <c r="N127" s="48">
        <f>'Dados Detalhados'!$L$1188</f>
        <v>238.1</v>
      </c>
      <c r="O127" s="78">
        <f t="shared" si="8"/>
        <v>1190.5</v>
      </c>
      <c r="P127" s="78"/>
      <c r="Q127" s="78"/>
      <c r="R127" s="78"/>
      <c r="S127" s="78"/>
      <c r="T127" s="78">
        <f t="shared" si="12"/>
        <v>1190.5</v>
      </c>
      <c r="U127" s="78"/>
      <c r="V127" s="78"/>
    </row>
    <row r="128" spans="1:22" ht="52.5" customHeight="1">
      <c r="A128" s="12">
        <v>120</v>
      </c>
      <c r="B128" s="11" t="s">
        <v>19</v>
      </c>
      <c r="C128" s="11" t="s">
        <v>18</v>
      </c>
      <c r="D128" s="6">
        <v>3</v>
      </c>
      <c r="E128" s="8" t="s">
        <v>4</v>
      </c>
      <c r="F128" s="8">
        <v>5</v>
      </c>
      <c r="G128" s="66" t="s">
        <v>402</v>
      </c>
      <c r="H128" s="5" t="s">
        <v>281</v>
      </c>
      <c r="I128" s="28" t="s">
        <v>3</v>
      </c>
      <c r="J128" s="224">
        <f>'Dados Detalhados'!$L$1193</f>
        <v>9523.81</v>
      </c>
      <c r="K128" s="224">
        <f>'Dados Detalhados'!$L$1193</f>
        <v>9523.81</v>
      </c>
      <c r="L128" s="224">
        <f>'Dados Detalhados'!$L$1193</f>
        <v>9523.81</v>
      </c>
      <c r="M128" s="224">
        <f>'Dados Detalhados'!$L$1193</f>
        <v>9523.81</v>
      </c>
      <c r="N128" s="224">
        <f>'Dados Detalhados'!$L$1193</f>
        <v>9523.81</v>
      </c>
      <c r="O128" s="78">
        <f t="shared" si="8"/>
        <v>47619.049999999996</v>
      </c>
      <c r="P128" s="78">
        <f t="shared" si="9"/>
        <v>47619.049999999996</v>
      </c>
      <c r="Q128" s="78"/>
      <c r="R128" s="78"/>
      <c r="S128" s="78"/>
      <c r="T128" s="78"/>
      <c r="U128" s="78"/>
      <c r="V128" s="78"/>
    </row>
    <row r="129" spans="1:22" ht="52.5" customHeight="1">
      <c r="A129" s="12">
        <v>121</v>
      </c>
      <c r="B129" s="11" t="s">
        <v>17</v>
      </c>
      <c r="C129" s="246" t="s">
        <v>16</v>
      </c>
      <c r="D129" s="6">
        <v>1</v>
      </c>
      <c r="E129" s="8" t="s">
        <v>4</v>
      </c>
      <c r="F129" s="8">
        <v>5</v>
      </c>
      <c r="G129" s="66" t="s">
        <v>410</v>
      </c>
      <c r="H129" s="5" t="s">
        <v>280</v>
      </c>
      <c r="I129" s="28" t="s">
        <v>3</v>
      </c>
      <c r="J129" s="42">
        <f>'Dados Detalhados'!$L$1200</f>
        <v>0</v>
      </c>
      <c r="K129" s="224">
        <f>'Dados Detalhados'!$L$1201</f>
        <v>7060.05</v>
      </c>
      <c r="L129" s="224">
        <f>'Dados Detalhados'!$L$1202</f>
        <v>1423.33</v>
      </c>
      <c r="M129" s="224">
        <f>'Dados Detalhados'!$L$1203</f>
        <v>1423.33</v>
      </c>
      <c r="N129" s="224">
        <f>'Dados Detalhados'!$L$1204</f>
        <v>1423.33</v>
      </c>
      <c r="O129" s="78">
        <f t="shared" si="8"/>
        <v>11330.04</v>
      </c>
      <c r="P129" s="78">
        <f t="shared" si="9"/>
        <v>11330.04</v>
      </c>
      <c r="Q129" s="78"/>
      <c r="R129" s="78"/>
      <c r="S129" s="78"/>
      <c r="T129" s="78"/>
      <c r="U129" s="78"/>
      <c r="V129" s="78"/>
    </row>
    <row r="130" spans="1:22" ht="52.5" customHeight="1">
      <c r="A130" s="12">
        <v>122</v>
      </c>
      <c r="B130" s="11" t="s">
        <v>15</v>
      </c>
      <c r="C130" s="11" t="s">
        <v>14</v>
      </c>
      <c r="D130" s="6">
        <v>1</v>
      </c>
      <c r="E130" s="8" t="s">
        <v>4</v>
      </c>
      <c r="F130" s="8">
        <v>5</v>
      </c>
      <c r="G130" s="66" t="s">
        <v>410</v>
      </c>
      <c r="H130" s="5" t="s">
        <v>279</v>
      </c>
      <c r="I130" s="28" t="s">
        <v>3</v>
      </c>
      <c r="J130" s="48">
        <f>'Dados Detalhados'!$L$1205</f>
        <v>747.33</v>
      </c>
      <c r="K130" s="48">
        <f>'Dados Detalhados'!$L$1205</f>
        <v>747.33</v>
      </c>
      <c r="L130" s="48">
        <f>'Dados Detalhados'!$L$1205</f>
        <v>747.33</v>
      </c>
      <c r="M130" s="48">
        <f>'Dados Detalhados'!$L$1205</f>
        <v>747.33</v>
      </c>
      <c r="N130" s="48">
        <f>'Dados Detalhados'!$L$1205</f>
        <v>747.33</v>
      </c>
      <c r="O130" s="78">
        <f t="shared" si="8"/>
        <v>3736.65</v>
      </c>
      <c r="P130" s="78"/>
      <c r="Q130" s="78"/>
      <c r="R130" s="78"/>
      <c r="S130" s="78"/>
      <c r="T130" s="78">
        <f t="shared" si="12"/>
        <v>3736.65</v>
      </c>
      <c r="U130" s="78"/>
      <c r="V130" s="78"/>
    </row>
    <row r="131" spans="1:22" ht="52.5" customHeight="1">
      <c r="A131" s="12">
        <v>123</v>
      </c>
      <c r="B131" s="11" t="s">
        <v>13</v>
      </c>
      <c r="C131" s="11" t="s">
        <v>12</v>
      </c>
      <c r="D131" s="6">
        <v>1</v>
      </c>
      <c r="E131" s="8" t="s">
        <v>4</v>
      </c>
      <c r="F131" s="8">
        <v>5</v>
      </c>
      <c r="G131" s="66" t="s">
        <v>407</v>
      </c>
      <c r="H131" s="9"/>
      <c r="I131" s="28" t="s">
        <v>3</v>
      </c>
      <c r="J131" s="42">
        <f>'Dados Detalhados'!$L$1208</f>
        <v>0</v>
      </c>
      <c r="K131" s="42">
        <f>'Dados Detalhados'!$L$1208</f>
        <v>0</v>
      </c>
      <c r="L131" s="42">
        <f>'Dados Detalhados'!$L$1208</f>
        <v>0</v>
      </c>
      <c r="M131" s="42">
        <f>'Dados Detalhados'!$L$1208</f>
        <v>0</v>
      </c>
      <c r="N131" s="42">
        <f>'Dados Detalhados'!$L$1208</f>
        <v>0</v>
      </c>
      <c r="O131" s="78">
        <f t="shared" si="8"/>
        <v>0</v>
      </c>
      <c r="P131" s="78">
        <f t="shared" si="9"/>
        <v>0</v>
      </c>
      <c r="Q131" s="78">
        <f t="shared" si="13"/>
        <v>0</v>
      </c>
      <c r="R131" s="78">
        <f t="shared" si="14"/>
        <v>0</v>
      </c>
      <c r="S131" s="78">
        <f t="shared" si="11"/>
        <v>0</v>
      </c>
      <c r="T131" s="78">
        <f t="shared" si="12"/>
        <v>0</v>
      </c>
      <c r="U131" s="78"/>
      <c r="V131" s="78">
        <f t="shared" si="10"/>
        <v>0</v>
      </c>
    </row>
    <row r="132" spans="1:22" ht="52.5" customHeight="1">
      <c r="A132" s="12">
        <v>124</v>
      </c>
      <c r="B132" s="11" t="s">
        <v>11</v>
      </c>
      <c r="C132" s="11" t="s">
        <v>10</v>
      </c>
      <c r="D132" s="6">
        <v>2</v>
      </c>
      <c r="E132" s="8" t="s">
        <v>4</v>
      </c>
      <c r="F132" s="8">
        <v>5</v>
      </c>
      <c r="G132" s="66" t="s">
        <v>410</v>
      </c>
      <c r="H132" s="9"/>
      <c r="I132" s="28" t="s">
        <v>3</v>
      </c>
      <c r="J132" s="42">
        <f>'Dados Detalhados'!$L$1210</f>
        <v>0</v>
      </c>
      <c r="K132" s="42">
        <f>'Dados Detalhados'!$L$1210</f>
        <v>0</v>
      </c>
      <c r="L132" s="42">
        <f>'Dados Detalhados'!$L$1210</f>
        <v>0</v>
      </c>
      <c r="M132" s="42">
        <f>'Dados Detalhados'!$L$1210</f>
        <v>0</v>
      </c>
      <c r="N132" s="42">
        <f>'Dados Detalhados'!$L$1210</f>
        <v>0</v>
      </c>
      <c r="O132" s="78">
        <f t="shared" si="8"/>
        <v>0</v>
      </c>
      <c r="P132" s="78">
        <f t="shared" si="9"/>
        <v>0</v>
      </c>
      <c r="Q132" s="78">
        <f t="shared" si="13"/>
        <v>0</v>
      </c>
      <c r="R132" s="78">
        <f t="shared" si="14"/>
        <v>0</v>
      </c>
      <c r="S132" s="78">
        <f t="shared" si="11"/>
        <v>0</v>
      </c>
      <c r="T132" s="78">
        <f t="shared" si="12"/>
        <v>0</v>
      </c>
      <c r="U132" s="78"/>
      <c r="V132" s="78">
        <f t="shared" si="10"/>
        <v>0</v>
      </c>
    </row>
    <row r="133" spans="1:22" ht="52.5" customHeight="1">
      <c r="A133" s="12">
        <v>125</v>
      </c>
      <c r="B133" s="11" t="s">
        <v>9</v>
      </c>
      <c r="C133" s="246" t="s">
        <v>8</v>
      </c>
      <c r="D133" s="6">
        <v>1</v>
      </c>
      <c r="E133" s="8" t="s">
        <v>4</v>
      </c>
      <c r="F133" s="8">
        <v>5</v>
      </c>
      <c r="G133" s="66" t="s">
        <v>402</v>
      </c>
      <c r="H133" s="9"/>
      <c r="I133" s="28" t="s">
        <v>3</v>
      </c>
      <c r="J133" s="42">
        <f>'Dados Detalhados'!$L$1213</f>
        <v>0</v>
      </c>
      <c r="K133" s="42">
        <f>'Dados Detalhados'!$L$1214</f>
        <v>0</v>
      </c>
      <c r="L133" s="224">
        <f>'Dados Detalhados'!$L$1215</f>
        <v>30000</v>
      </c>
      <c r="M133" s="42">
        <f>'Dados Detalhados'!$L$1216</f>
        <v>0</v>
      </c>
      <c r="N133" s="42">
        <f>'Dados Detalhados'!$L$1217</f>
        <v>0</v>
      </c>
      <c r="O133" s="78">
        <f t="shared" ref="O133:O159" si="15">J133+K133+L133+M133+N133</f>
        <v>30000</v>
      </c>
      <c r="P133" s="78">
        <f t="shared" si="9"/>
        <v>30000</v>
      </c>
      <c r="Q133" s="78"/>
      <c r="R133" s="78"/>
      <c r="S133" s="78"/>
      <c r="T133" s="78"/>
      <c r="U133" s="78"/>
      <c r="V133" s="78"/>
    </row>
    <row r="134" spans="1:22" ht="61.5" customHeight="1">
      <c r="A134" s="12">
        <v>126</v>
      </c>
      <c r="B134" s="11" t="s">
        <v>7</v>
      </c>
      <c r="C134" s="11" t="s">
        <v>364</v>
      </c>
      <c r="D134" s="6">
        <v>1</v>
      </c>
      <c r="E134" s="8" t="s">
        <v>4</v>
      </c>
      <c r="F134" s="8">
        <v>5</v>
      </c>
      <c r="G134" s="66" t="s">
        <v>402</v>
      </c>
      <c r="H134" s="9"/>
      <c r="I134" s="28" t="s">
        <v>3</v>
      </c>
      <c r="J134" s="42">
        <f>'Dados Detalhados'!$L$1218</f>
        <v>11013.44</v>
      </c>
      <c r="K134" s="42"/>
      <c r="L134" s="224">
        <f>'Dados Detalhados'!$L$1218</f>
        <v>11013.44</v>
      </c>
      <c r="M134" s="43">
        <v>0</v>
      </c>
      <c r="N134" s="43">
        <v>0</v>
      </c>
      <c r="O134" s="78">
        <f t="shared" si="15"/>
        <v>22026.880000000001</v>
      </c>
      <c r="P134" s="78">
        <f t="shared" si="9"/>
        <v>22026.880000000001</v>
      </c>
      <c r="Q134" s="78"/>
      <c r="R134" s="78"/>
      <c r="S134" s="78"/>
      <c r="T134" s="78"/>
      <c r="U134" s="78"/>
      <c r="V134" s="78"/>
    </row>
    <row r="135" spans="1:22" ht="52.5" customHeight="1">
      <c r="A135" s="12">
        <v>127</v>
      </c>
      <c r="B135" s="11" t="s">
        <v>6</v>
      </c>
      <c r="C135" s="52" t="s">
        <v>386</v>
      </c>
      <c r="D135" s="6">
        <v>1</v>
      </c>
      <c r="E135" s="33" t="s">
        <v>4</v>
      </c>
      <c r="F135" s="8">
        <v>5</v>
      </c>
      <c r="G135" s="66" t="s">
        <v>410</v>
      </c>
      <c r="H135" s="55"/>
      <c r="I135" s="50" t="s">
        <v>3</v>
      </c>
      <c r="J135" s="236">
        <f>'Dados Detalhados'!$L$1234</f>
        <v>152.30000000000001</v>
      </c>
      <c r="K135" s="236">
        <f>'Dados Detalhados'!$L$1234</f>
        <v>152.30000000000001</v>
      </c>
      <c r="L135" s="236">
        <f>'Dados Detalhados'!$L$1234</f>
        <v>152.30000000000001</v>
      </c>
      <c r="M135" s="236">
        <f>'Dados Detalhados'!$L$1234</f>
        <v>152.30000000000001</v>
      </c>
      <c r="N135" s="236">
        <f>'Dados Detalhados'!$L$1234</f>
        <v>152.30000000000001</v>
      </c>
      <c r="O135" s="78">
        <f t="shared" si="15"/>
        <v>761.5</v>
      </c>
      <c r="P135" s="78"/>
      <c r="Q135" s="78"/>
      <c r="R135" s="78"/>
      <c r="S135" s="78"/>
      <c r="T135" s="78">
        <f t="shared" ref="T135:T151" si="16">+O135</f>
        <v>761.5</v>
      </c>
      <c r="U135" s="78"/>
      <c r="V135" s="78"/>
    </row>
    <row r="136" spans="1:22" ht="52.5" customHeight="1">
      <c r="A136" s="12">
        <v>128</v>
      </c>
      <c r="B136" s="11" t="s">
        <v>5</v>
      </c>
      <c r="C136" s="52" t="s">
        <v>373</v>
      </c>
      <c r="D136" s="56"/>
      <c r="E136" s="33" t="s">
        <v>4</v>
      </c>
      <c r="F136" s="8">
        <v>5</v>
      </c>
      <c r="G136" s="66" t="s">
        <v>410</v>
      </c>
      <c r="H136" s="55"/>
      <c r="I136" s="50" t="s">
        <v>3</v>
      </c>
      <c r="J136" s="69">
        <f>'Dados Detalhados'!$L$1237</f>
        <v>44304</v>
      </c>
      <c r="K136" s="69">
        <f>'Dados Detalhados'!$L$1238</f>
        <v>0</v>
      </c>
      <c r="L136" s="237">
        <f>'Dados Detalhados'!$L$1239</f>
        <v>22152</v>
      </c>
      <c r="M136" s="69">
        <f>'Dados Detalhados'!$L$1240</f>
        <v>0</v>
      </c>
      <c r="N136" s="69">
        <f>'Dados Detalhados'!$L$1241</f>
        <v>0</v>
      </c>
      <c r="O136" s="78">
        <f t="shared" si="15"/>
        <v>66456</v>
      </c>
      <c r="P136" s="78">
        <f t="shared" ref="P136:P157" si="17">+O136</f>
        <v>66456</v>
      </c>
      <c r="Q136" s="78"/>
      <c r="R136" s="78"/>
      <c r="S136" s="78"/>
      <c r="T136" s="78"/>
      <c r="U136" s="78"/>
      <c r="V136" s="78"/>
    </row>
    <row r="137" spans="1:22" ht="52.5" customHeight="1">
      <c r="A137" s="12">
        <v>129</v>
      </c>
      <c r="B137" s="11" t="s">
        <v>341</v>
      </c>
      <c r="C137" s="52" t="s">
        <v>374</v>
      </c>
      <c r="D137" s="56"/>
      <c r="E137" s="33" t="s">
        <v>4</v>
      </c>
      <c r="F137" s="8">
        <v>5</v>
      </c>
      <c r="G137" s="66" t="s">
        <v>407</v>
      </c>
      <c r="H137" s="55"/>
      <c r="I137" s="50" t="s">
        <v>3</v>
      </c>
      <c r="J137" s="69">
        <f>'Dados Detalhados'!$L$1247</f>
        <v>0</v>
      </c>
      <c r="K137" s="69">
        <f>'Dados Detalhados'!$L$1248</f>
        <v>4352.2555555555555</v>
      </c>
      <c r="L137" s="69">
        <f>'Dados Detalhados'!$L$1249</f>
        <v>0</v>
      </c>
      <c r="M137" s="69">
        <f>'Dados Detalhados'!$L$1250</f>
        <v>0</v>
      </c>
      <c r="N137" s="69">
        <f>'Dados Detalhados'!$L$1251</f>
        <v>0</v>
      </c>
      <c r="O137" s="78">
        <f t="shared" si="15"/>
        <v>4352.2555555555555</v>
      </c>
      <c r="P137" s="78"/>
      <c r="Q137" s="78"/>
      <c r="R137" s="78"/>
      <c r="S137" s="78"/>
      <c r="T137" s="78"/>
      <c r="U137" s="78"/>
      <c r="V137" s="78">
        <f t="shared" si="10"/>
        <v>4352.2555555555555</v>
      </c>
    </row>
    <row r="138" spans="1:22" ht="52.5" customHeight="1">
      <c r="A138" s="12">
        <v>130</v>
      </c>
      <c r="B138" s="11" t="s">
        <v>342</v>
      </c>
      <c r="C138" s="52" t="s">
        <v>375</v>
      </c>
      <c r="D138" s="56">
        <v>1</v>
      </c>
      <c r="E138" s="33" t="s">
        <v>4</v>
      </c>
      <c r="F138" s="8">
        <v>5</v>
      </c>
      <c r="G138" s="66" t="s">
        <v>407</v>
      </c>
      <c r="H138" s="55"/>
      <c r="I138" s="50" t="s">
        <v>3</v>
      </c>
      <c r="J138" s="236">
        <f>'Dados Detalhados'!$L$1268</f>
        <v>750</v>
      </c>
      <c r="K138" s="236">
        <f>'Dados Detalhados'!$L$1269</f>
        <v>750</v>
      </c>
      <c r="L138" s="236">
        <f>'Dados Detalhados'!$L$1270</f>
        <v>750</v>
      </c>
      <c r="M138" s="236">
        <f>'Dados Detalhados'!$L$1271</f>
        <v>750</v>
      </c>
      <c r="N138" s="236">
        <f>'Dados Detalhados'!$L$1272</f>
        <v>750</v>
      </c>
      <c r="O138" s="78">
        <f t="shared" si="15"/>
        <v>3750</v>
      </c>
      <c r="P138" s="78"/>
      <c r="Q138" s="78"/>
      <c r="R138" s="78"/>
      <c r="S138" s="78"/>
      <c r="T138" s="78">
        <f t="shared" si="16"/>
        <v>3750</v>
      </c>
      <c r="U138" s="78"/>
      <c r="V138" s="78"/>
    </row>
    <row r="139" spans="1:22" ht="52.5" customHeight="1">
      <c r="A139" s="12">
        <v>131</v>
      </c>
      <c r="B139" s="11" t="s">
        <v>343</v>
      </c>
      <c r="C139" s="52" t="s">
        <v>376</v>
      </c>
      <c r="D139" s="56">
        <v>1</v>
      </c>
      <c r="E139" s="33" t="s">
        <v>4</v>
      </c>
      <c r="F139" s="8">
        <v>5</v>
      </c>
      <c r="G139" s="66" t="s">
        <v>402</v>
      </c>
      <c r="H139" s="55"/>
      <c r="I139" s="50" t="s">
        <v>3</v>
      </c>
      <c r="J139" s="69">
        <f>'Dados Detalhados'!$L$1274</f>
        <v>0</v>
      </c>
      <c r="K139" s="69">
        <f>'Dados Detalhados'!$L$1275</f>
        <v>0</v>
      </c>
      <c r="L139" s="69">
        <f>'Dados Detalhados'!$L$1276</f>
        <v>0</v>
      </c>
      <c r="M139" s="69">
        <f>'Dados Detalhados'!$L$1277</f>
        <v>0</v>
      </c>
      <c r="N139" s="69">
        <f>'Dados Detalhados'!$L$1278</f>
        <v>0</v>
      </c>
      <c r="O139" s="78">
        <f t="shared" si="15"/>
        <v>0</v>
      </c>
      <c r="P139" s="78">
        <f t="shared" si="17"/>
        <v>0</v>
      </c>
      <c r="Q139" s="78">
        <f t="shared" ref="Q139:Q151" si="18">+O139</f>
        <v>0</v>
      </c>
      <c r="R139" s="78">
        <f t="shared" ref="R139:R159" si="19">+O139</f>
        <v>0</v>
      </c>
      <c r="S139" s="78">
        <f t="shared" ref="S139:S151" si="20">+O139</f>
        <v>0</v>
      </c>
      <c r="T139" s="78">
        <f t="shared" si="16"/>
        <v>0</v>
      </c>
      <c r="U139" s="78"/>
      <c r="V139" s="78">
        <f t="shared" si="10"/>
        <v>0</v>
      </c>
    </row>
    <row r="140" spans="1:22" ht="52.5" customHeight="1">
      <c r="A140" s="12">
        <v>132</v>
      </c>
      <c r="B140" s="11" t="s">
        <v>344</v>
      </c>
      <c r="C140" s="52" t="s">
        <v>385</v>
      </c>
      <c r="D140" s="56">
        <v>1</v>
      </c>
      <c r="E140" s="33" t="s">
        <v>4</v>
      </c>
      <c r="F140" s="8">
        <v>5</v>
      </c>
      <c r="G140" s="66" t="s">
        <v>402</v>
      </c>
      <c r="H140" s="55"/>
      <c r="I140" s="50" t="s">
        <v>3</v>
      </c>
      <c r="J140" s="237">
        <f>'Dados Detalhados'!$L$1280</f>
        <v>6103.6111111111113</v>
      </c>
      <c r="K140" s="237">
        <f>'Dados Detalhados'!$L$1281</f>
        <v>6103.6111111111113</v>
      </c>
      <c r="L140" s="237">
        <f>'Dados Detalhados'!$L$1282</f>
        <v>6103.6111111111113</v>
      </c>
      <c r="M140" s="237">
        <f>'Dados Detalhados'!$L$1283</f>
        <v>6103.6111111111113</v>
      </c>
      <c r="N140" s="237">
        <f>'Dados Detalhados'!$L$1284</f>
        <v>6103.6111111111113</v>
      </c>
      <c r="O140" s="78">
        <f t="shared" si="15"/>
        <v>30518.055555555555</v>
      </c>
      <c r="P140" s="78">
        <f t="shared" si="17"/>
        <v>30518.055555555555</v>
      </c>
      <c r="Q140" s="78"/>
      <c r="R140" s="78"/>
      <c r="S140" s="78"/>
      <c r="T140" s="78"/>
      <c r="U140" s="78"/>
      <c r="V140" s="78"/>
    </row>
    <row r="141" spans="1:22" ht="52.5" customHeight="1">
      <c r="A141" s="12">
        <v>133</v>
      </c>
      <c r="B141" s="11" t="s">
        <v>345</v>
      </c>
      <c r="C141" s="52" t="s">
        <v>377</v>
      </c>
      <c r="D141" s="56">
        <v>1</v>
      </c>
      <c r="E141" s="33" t="s">
        <v>4</v>
      </c>
      <c r="F141" s="8">
        <v>5</v>
      </c>
      <c r="G141" s="66" t="s">
        <v>402</v>
      </c>
      <c r="H141" s="55"/>
      <c r="I141" s="50" t="s">
        <v>3</v>
      </c>
      <c r="J141" s="69">
        <f>'Dados Detalhados'!$L$1287</f>
        <v>0</v>
      </c>
      <c r="K141" s="69">
        <f>'Dados Detalhados'!$L$1288</f>
        <v>0</v>
      </c>
      <c r="L141" s="69">
        <f>'Dados Detalhados'!$L$1289</f>
        <v>0</v>
      </c>
      <c r="M141" s="69">
        <f>'Dados Detalhados'!$L$1290</f>
        <v>0</v>
      </c>
      <c r="N141" s="69">
        <f>'Dados Detalhados'!$L$1291</f>
        <v>0</v>
      </c>
      <c r="O141" s="78">
        <f t="shared" si="15"/>
        <v>0</v>
      </c>
      <c r="P141" s="78">
        <f t="shared" si="17"/>
        <v>0</v>
      </c>
      <c r="Q141" s="78">
        <f t="shared" si="18"/>
        <v>0</v>
      </c>
      <c r="R141" s="78">
        <f t="shared" si="19"/>
        <v>0</v>
      </c>
      <c r="S141" s="78">
        <f t="shared" si="20"/>
        <v>0</v>
      </c>
      <c r="T141" s="78">
        <f t="shared" si="16"/>
        <v>0</v>
      </c>
      <c r="U141" s="78"/>
      <c r="V141" s="78">
        <f t="shared" ref="V141:V158" si="21">+O141</f>
        <v>0</v>
      </c>
    </row>
    <row r="142" spans="1:22" ht="52.5" customHeight="1">
      <c r="A142" s="12">
        <v>134</v>
      </c>
      <c r="B142" s="11" t="s">
        <v>346</v>
      </c>
      <c r="C142" s="52" t="s">
        <v>378</v>
      </c>
      <c r="D142" s="56">
        <v>1</v>
      </c>
      <c r="E142" s="33" t="s">
        <v>4</v>
      </c>
      <c r="F142" s="8">
        <v>5</v>
      </c>
      <c r="G142" s="66" t="s">
        <v>402</v>
      </c>
      <c r="H142" s="55"/>
      <c r="I142" s="50" t="s">
        <v>3</v>
      </c>
      <c r="J142" s="236">
        <f>'Dados Detalhados'!$L$1293</f>
        <v>225</v>
      </c>
      <c r="K142" s="236">
        <f>'Dados Detalhados'!$L$1294</f>
        <v>250</v>
      </c>
      <c r="L142" s="236">
        <f>'Dados Detalhados'!$L$1295</f>
        <v>266.66666666666669</v>
      </c>
      <c r="M142" s="236">
        <f>'Dados Detalhados'!$L$1296</f>
        <v>277.77777777777777</v>
      </c>
      <c r="N142" s="236">
        <f>'Dados Detalhados'!$L$1297</f>
        <v>319.44444444444446</v>
      </c>
      <c r="O142" s="78">
        <f t="shared" si="15"/>
        <v>1338.8888888888891</v>
      </c>
      <c r="P142" s="78"/>
      <c r="Q142" s="78"/>
      <c r="R142" s="78"/>
      <c r="S142" s="78"/>
      <c r="T142" s="78">
        <f t="shared" si="16"/>
        <v>1338.8888888888891</v>
      </c>
      <c r="U142" s="78"/>
      <c r="V142" s="78"/>
    </row>
    <row r="143" spans="1:22" s="4" customFormat="1" ht="52.5" customHeight="1">
      <c r="A143" s="12">
        <v>135</v>
      </c>
      <c r="B143" s="11" t="s">
        <v>347</v>
      </c>
      <c r="C143" s="52" t="s">
        <v>379</v>
      </c>
      <c r="D143" s="56">
        <v>1</v>
      </c>
      <c r="E143" s="33" t="s">
        <v>4</v>
      </c>
      <c r="F143" s="8">
        <v>5</v>
      </c>
      <c r="G143" s="66" t="s">
        <v>402</v>
      </c>
      <c r="H143" s="55"/>
      <c r="I143" s="50" t="s">
        <v>3</v>
      </c>
      <c r="J143" s="236">
        <f>'Dados Detalhados'!$L$1305</f>
        <v>4608</v>
      </c>
      <c r="K143" s="236">
        <f>'Dados Detalhados'!$L$1306</f>
        <v>4608</v>
      </c>
      <c r="L143" s="236">
        <f>'Dados Detalhados'!$L$1307</f>
        <v>4608</v>
      </c>
      <c r="M143" s="236">
        <f>'Dados Detalhados'!$L$1308</f>
        <v>4608</v>
      </c>
      <c r="N143" s="236">
        <f>'Dados Detalhados'!$L$1309</f>
        <v>4608</v>
      </c>
      <c r="O143" s="78">
        <f t="shared" si="15"/>
        <v>23040</v>
      </c>
      <c r="P143" s="78"/>
      <c r="Q143" s="78"/>
      <c r="R143" s="78"/>
      <c r="S143" s="78"/>
      <c r="T143" s="78">
        <f t="shared" si="16"/>
        <v>23040</v>
      </c>
      <c r="U143" s="78"/>
      <c r="V143" s="78"/>
    </row>
    <row r="144" spans="1:22" s="4" customFormat="1" ht="61.5" customHeight="1">
      <c r="A144" s="12">
        <v>136</v>
      </c>
      <c r="B144" s="11" t="s">
        <v>348</v>
      </c>
      <c r="C144" s="52" t="s">
        <v>384</v>
      </c>
      <c r="D144" s="56">
        <v>1</v>
      </c>
      <c r="E144" s="33" t="s">
        <v>4</v>
      </c>
      <c r="F144" s="8">
        <v>5</v>
      </c>
      <c r="G144" s="66" t="s">
        <v>409</v>
      </c>
      <c r="H144" s="5" t="s">
        <v>282</v>
      </c>
      <c r="I144" s="50" t="s">
        <v>3</v>
      </c>
      <c r="J144" s="237">
        <f>'Dados Detalhados'!$L$1312</f>
        <v>2796.6</v>
      </c>
      <c r="K144" s="237">
        <f>'Dados Detalhados'!$L$1313</f>
        <v>2720.6</v>
      </c>
      <c r="L144" s="237">
        <f>'Dados Detalhados'!$L$1314</f>
        <v>2720.6</v>
      </c>
      <c r="M144" s="237">
        <f>'Dados Detalhados'!$L$1315</f>
        <v>2720.6</v>
      </c>
      <c r="N144" s="237">
        <f>'Dados Detalhados'!$L$1316</f>
        <v>2780.3</v>
      </c>
      <c r="O144" s="78">
        <f t="shared" si="15"/>
        <v>13738.7</v>
      </c>
      <c r="P144" s="78">
        <f t="shared" si="17"/>
        <v>13738.7</v>
      </c>
      <c r="Q144" s="78"/>
      <c r="R144" s="78"/>
      <c r="S144" s="78"/>
      <c r="T144" s="78"/>
      <c r="U144" s="78"/>
      <c r="V144" s="78"/>
    </row>
    <row r="145" spans="1:22" s="4" customFormat="1" ht="52.5" customHeight="1">
      <c r="A145" s="12">
        <v>137</v>
      </c>
      <c r="B145" s="11" t="s">
        <v>349</v>
      </c>
      <c r="C145" s="52" t="s">
        <v>380</v>
      </c>
      <c r="D145" s="56">
        <v>1</v>
      </c>
      <c r="E145" s="33" t="s">
        <v>4</v>
      </c>
      <c r="F145" s="8">
        <v>5</v>
      </c>
      <c r="G145" s="66" t="s">
        <v>402</v>
      </c>
      <c r="H145" s="55"/>
      <c r="I145" s="50" t="s">
        <v>3</v>
      </c>
      <c r="J145" s="237">
        <f>'Dados Detalhados'!$L$1318</f>
        <v>5584.7</v>
      </c>
      <c r="K145" s="237">
        <f>'Dados Detalhados'!$L$1319</f>
        <v>5584.7</v>
      </c>
      <c r="L145" s="237">
        <f>'Dados Detalhados'!$L$1320</f>
        <v>5584.7</v>
      </c>
      <c r="M145" s="237">
        <f>'Dados Detalhados'!$L$1321</f>
        <v>5584.7</v>
      </c>
      <c r="N145" s="237">
        <f>'Dados Detalhados'!$L$1322</f>
        <v>5584.7</v>
      </c>
      <c r="O145" s="78">
        <f t="shared" si="15"/>
        <v>27923.5</v>
      </c>
      <c r="P145" s="78">
        <f t="shared" si="17"/>
        <v>27923.5</v>
      </c>
      <c r="Q145" s="78"/>
      <c r="R145" s="78"/>
      <c r="S145" s="78"/>
      <c r="T145" s="78"/>
      <c r="U145" s="78"/>
      <c r="V145" s="78"/>
    </row>
    <row r="146" spans="1:22" s="4" customFormat="1" ht="52.5" customHeight="1">
      <c r="A146" s="12">
        <v>138</v>
      </c>
      <c r="B146" s="11" t="s">
        <v>350</v>
      </c>
      <c r="C146" s="52" t="s">
        <v>381</v>
      </c>
      <c r="D146" s="56">
        <v>1</v>
      </c>
      <c r="E146" s="33" t="s">
        <v>4</v>
      </c>
      <c r="F146" s="8">
        <v>5</v>
      </c>
      <c r="G146" s="66" t="s">
        <v>410</v>
      </c>
      <c r="H146" s="55"/>
      <c r="I146" s="50" t="s">
        <v>3</v>
      </c>
      <c r="J146" s="69">
        <f>'Dados Detalhados'!$L$1324</f>
        <v>4048.3</v>
      </c>
      <c r="K146" s="69">
        <f>'Dados Detalhados'!$L$1325</f>
        <v>0</v>
      </c>
      <c r="L146" s="69">
        <f>'Dados Detalhados'!$L$1326</f>
        <v>0</v>
      </c>
      <c r="M146" s="69">
        <f>'Dados Detalhados'!$L$1327</f>
        <v>0</v>
      </c>
      <c r="N146" s="69">
        <f>'Dados Detalhados'!$L$1328</f>
        <v>0</v>
      </c>
      <c r="O146" s="78">
        <f t="shared" si="15"/>
        <v>4048.3</v>
      </c>
      <c r="P146" s="78"/>
      <c r="Q146" s="78"/>
      <c r="R146" s="78"/>
      <c r="S146" s="78"/>
      <c r="T146" s="78"/>
      <c r="U146" s="78"/>
      <c r="V146" s="78">
        <f t="shared" si="21"/>
        <v>4048.3</v>
      </c>
    </row>
    <row r="147" spans="1:22" s="4" customFormat="1" ht="52.5" customHeight="1">
      <c r="A147" s="12">
        <v>139</v>
      </c>
      <c r="B147" s="11" t="s">
        <v>351</v>
      </c>
      <c r="C147" s="52" t="s">
        <v>382</v>
      </c>
      <c r="D147" s="56">
        <v>2</v>
      </c>
      <c r="E147" s="33" t="s">
        <v>4</v>
      </c>
      <c r="F147" s="8">
        <v>5</v>
      </c>
      <c r="G147" s="66" t="s">
        <v>410</v>
      </c>
      <c r="H147" s="55"/>
      <c r="I147" s="50" t="s">
        <v>3</v>
      </c>
      <c r="J147" s="69">
        <f>'Dados Detalhados'!$L$1330</f>
        <v>6686.0555555555557</v>
      </c>
      <c r="K147" s="69">
        <f>'Dados Detalhados'!$L$1331</f>
        <v>6686.0555555555557</v>
      </c>
      <c r="L147" s="69">
        <f>'Dados Detalhados'!$L$1332</f>
        <v>0</v>
      </c>
      <c r="M147" s="69">
        <f>'Dados Detalhados'!$L$1333</f>
        <v>0</v>
      </c>
      <c r="N147" s="69">
        <f>'Dados Detalhados'!$L$1334</f>
        <v>0</v>
      </c>
      <c r="O147" s="78">
        <f t="shared" si="15"/>
        <v>13372.111111111111</v>
      </c>
      <c r="P147" s="78"/>
      <c r="Q147" s="78"/>
      <c r="R147" s="78"/>
      <c r="S147" s="78"/>
      <c r="T147" s="78"/>
      <c r="U147" s="78"/>
      <c r="V147" s="78">
        <f t="shared" si="21"/>
        <v>13372.111111111111</v>
      </c>
    </row>
    <row r="148" spans="1:22" s="4" customFormat="1" ht="52.5" customHeight="1">
      <c r="A148" s="12">
        <v>140</v>
      </c>
      <c r="B148" s="11" t="s">
        <v>352</v>
      </c>
      <c r="C148" s="52" t="s">
        <v>383</v>
      </c>
      <c r="D148" s="56">
        <v>3</v>
      </c>
      <c r="E148" s="33" t="s">
        <v>4</v>
      </c>
      <c r="F148" s="8">
        <v>5</v>
      </c>
      <c r="G148" s="66" t="s">
        <v>410</v>
      </c>
      <c r="H148" s="55"/>
      <c r="I148" s="50" t="s">
        <v>3</v>
      </c>
      <c r="J148" s="236">
        <f>'Dados Detalhados'!$L$1351</f>
        <v>92.833333333333329</v>
      </c>
      <c r="K148" s="236">
        <f>'Dados Detalhados'!$L$1352</f>
        <v>92.833333333333329</v>
      </c>
      <c r="L148" s="236">
        <f>'Dados Detalhados'!$L$1353</f>
        <v>92.833333333333329</v>
      </c>
      <c r="M148" s="236">
        <f>'Dados Detalhados'!$L$1354</f>
        <v>92.833333333333329</v>
      </c>
      <c r="N148" s="236">
        <f>'Dados Detalhados'!$L$1213</f>
        <v>0</v>
      </c>
      <c r="O148" s="78">
        <f t="shared" si="15"/>
        <v>371.33333333333331</v>
      </c>
      <c r="P148" s="78"/>
      <c r="Q148" s="78"/>
      <c r="R148" s="78"/>
      <c r="S148" s="78"/>
      <c r="T148" s="78">
        <f t="shared" si="16"/>
        <v>371.33333333333331</v>
      </c>
      <c r="U148" s="78"/>
      <c r="V148" s="78"/>
    </row>
    <row r="149" spans="1:22" s="4" customFormat="1" ht="52.5" customHeight="1">
      <c r="A149" s="12">
        <v>141</v>
      </c>
      <c r="B149" s="11" t="s">
        <v>353</v>
      </c>
      <c r="C149" s="52" t="s">
        <v>369</v>
      </c>
      <c r="D149" s="56">
        <v>1</v>
      </c>
      <c r="E149" s="33" t="s">
        <v>4</v>
      </c>
      <c r="F149" s="8">
        <v>5</v>
      </c>
      <c r="G149" s="66" t="s">
        <v>410</v>
      </c>
      <c r="H149" s="55"/>
      <c r="I149" s="50"/>
      <c r="J149" s="69">
        <f>'Dados Detalhados'!$L$1359</f>
        <v>0</v>
      </c>
      <c r="K149" s="69">
        <f>'Dados Detalhados'!$L$1360</f>
        <v>0</v>
      </c>
      <c r="L149" s="237">
        <f>'Dados Detalhados'!$L$1361</f>
        <v>6502.7564645041803</v>
      </c>
      <c r="M149" s="69">
        <f>'Dados Detalhados'!$L$1362</f>
        <v>0</v>
      </c>
      <c r="N149" s="69">
        <f>'Dados Detalhados'!$L$1363</f>
        <v>0</v>
      </c>
      <c r="O149" s="78">
        <f t="shared" si="15"/>
        <v>6502.7564645041803</v>
      </c>
      <c r="P149" s="78">
        <f t="shared" si="17"/>
        <v>6502.7564645041803</v>
      </c>
      <c r="Q149" s="78"/>
      <c r="R149" s="78"/>
      <c r="S149" s="78"/>
      <c r="T149" s="78"/>
      <c r="U149" s="78"/>
      <c r="V149" s="78"/>
    </row>
    <row r="150" spans="1:22" s="4" customFormat="1" ht="52.5" customHeight="1">
      <c r="A150" s="12">
        <v>142</v>
      </c>
      <c r="B150" s="11" t="s">
        <v>354</v>
      </c>
      <c r="C150" s="52" t="s">
        <v>372</v>
      </c>
      <c r="D150" s="56">
        <v>1</v>
      </c>
      <c r="E150" s="33" t="s">
        <v>4</v>
      </c>
      <c r="F150" s="8">
        <v>5</v>
      </c>
      <c r="G150" s="66" t="s">
        <v>410</v>
      </c>
      <c r="H150" s="55"/>
      <c r="I150" s="50" t="s">
        <v>3</v>
      </c>
      <c r="J150" s="238">
        <f>'Dados Detalhados'!$L$1387</f>
        <v>14028.4</v>
      </c>
      <c r="K150" s="69">
        <f>'Dados Detalhados'!$L$1388</f>
        <v>0</v>
      </c>
      <c r="L150" s="69">
        <f>'Dados Detalhados'!$L$1389</f>
        <v>0</v>
      </c>
      <c r="M150" s="69">
        <f>'Dados Detalhados'!$L$1390</f>
        <v>0</v>
      </c>
      <c r="N150" s="69">
        <f>'Dados Detalhados'!$L$1391</f>
        <v>0</v>
      </c>
      <c r="O150" s="78">
        <f t="shared" si="15"/>
        <v>14028.4</v>
      </c>
      <c r="P150" s="78"/>
      <c r="Q150" s="78"/>
      <c r="R150" s="78">
        <f t="shared" si="19"/>
        <v>14028.4</v>
      </c>
      <c r="S150" s="78"/>
      <c r="T150" s="78"/>
      <c r="U150" s="78"/>
      <c r="V150" s="78"/>
    </row>
    <row r="151" spans="1:22" s="4" customFormat="1" ht="52.5" customHeight="1">
      <c r="A151" s="12">
        <v>143</v>
      </c>
      <c r="B151" s="11" t="s">
        <v>355</v>
      </c>
      <c r="C151" s="52" t="s">
        <v>371</v>
      </c>
      <c r="D151" s="56">
        <v>1</v>
      </c>
      <c r="E151" s="33" t="s">
        <v>4</v>
      </c>
      <c r="F151" s="8">
        <v>5</v>
      </c>
      <c r="G151" s="66" t="s">
        <v>410</v>
      </c>
      <c r="H151" s="55"/>
      <c r="I151" s="50" t="s">
        <v>3</v>
      </c>
      <c r="J151" s="69">
        <f>'Dados Detalhados'!$L$1393</f>
        <v>0</v>
      </c>
      <c r="K151" s="69">
        <f>'Dados Detalhados'!$L$1394</f>
        <v>0</v>
      </c>
      <c r="L151" s="69">
        <f>'Dados Detalhados'!$L$1395</f>
        <v>0</v>
      </c>
      <c r="M151" s="69">
        <f>'Dados Detalhados'!$L$1396</f>
        <v>0</v>
      </c>
      <c r="N151" s="69">
        <f>'Dados Detalhados'!$L$1397</f>
        <v>0</v>
      </c>
      <c r="O151" s="78">
        <f t="shared" si="15"/>
        <v>0</v>
      </c>
      <c r="P151" s="78">
        <f t="shared" si="17"/>
        <v>0</v>
      </c>
      <c r="Q151" s="78">
        <f t="shared" si="18"/>
        <v>0</v>
      </c>
      <c r="R151" s="78">
        <f t="shared" si="19"/>
        <v>0</v>
      </c>
      <c r="S151" s="78">
        <f t="shared" si="20"/>
        <v>0</v>
      </c>
      <c r="T151" s="78">
        <f t="shared" si="16"/>
        <v>0</v>
      </c>
      <c r="U151" s="78"/>
      <c r="V151" s="78">
        <f t="shared" si="21"/>
        <v>0</v>
      </c>
    </row>
    <row r="152" spans="1:22" s="4" customFormat="1" ht="52.5" customHeight="1">
      <c r="A152" s="12">
        <v>144</v>
      </c>
      <c r="B152" s="11" t="s">
        <v>356</v>
      </c>
      <c r="C152" s="52" t="s">
        <v>370</v>
      </c>
      <c r="D152" s="56">
        <v>1</v>
      </c>
      <c r="E152" s="33" t="s">
        <v>4</v>
      </c>
      <c r="F152" s="8">
        <v>5</v>
      </c>
      <c r="G152" s="66" t="s">
        <v>410</v>
      </c>
      <c r="H152" s="55"/>
      <c r="I152" s="50" t="s">
        <v>3</v>
      </c>
      <c r="J152" s="69">
        <f>'Dados Detalhados'!$L$1399</f>
        <v>3520.3</v>
      </c>
      <c r="K152" s="69">
        <f>'Dados Detalhados'!$L$1401</f>
        <v>0</v>
      </c>
      <c r="L152" s="69">
        <f>'Dados Detalhados'!$L$1401</f>
        <v>0</v>
      </c>
      <c r="M152" s="69">
        <f>'Dados Detalhados'!$L$1402</f>
        <v>0</v>
      </c>
      <c r="N152" s="69">
        <f>'Dados Detalhados'!$L$1403</f>
        <v>0</v>
      </c>
      <c r="O152" s="78">
        <f t="shared" si="15"/>
        <v>3520.3</v>
      </c>
      <c r="P152" s="78"/>
      <c r="Q152" s="78"/>
      <c r="R152" s="78"/>
      <c r="S152" s="78"/>
      <c r="T152" s="78"/>
      <c r="U152" s="78"/>
      <c r="V152" s="78">
        <f t="shared" si="21"/>
        <v>3520.3</v>
      </c>
    </row>
    <row r="153" spans="1:22" s="4" customFormat="1" ht="52.5" customHeight="1">
      <c r="A153" s="12">
        <v>145</v>
      </c>
      <c r="B153" s="11" t="s">
        <v>357</v>
      </c>
      <c r="C153" s="64" t="s">
        <v>394</v>
      </c>
      <c r="D153" s="56">
        <v>1</v>
      </c>
      <c r="E153" s="33" t="s">
        <v>4</v>
      </c>
      <c r="F153" s="8">
        <v>5</v>
      </c>
      <c r="G153" s="66" t="s">
        <v>410</v>
      </c>
      <c r="H153" s="55"/>
      <c r="I153" s="50" t="s">
        <v>368</v>
      </c>
      <c r="J153" s="69">
        <f>'Dados Detalhados'!$L$1405</f>
        <v>0</v>
      </c>
      <c r="K153" s="69">
        <f>'Dados Detalhados'!$L$1406</f>
        <v>0</v>
      </c>
      <c r="L153" s="238">
        <f>'Dados Detalhados'!$L$1407</f>
        <v>9538.8791176069535</v>
      </c>
      <c r="M153" s="69">
        <f>'Dados Detalhados'!$L$1408</f>
        <v>0</v>
      </c>
      <c r="N153" s="69">
        <f>'Dados Detalhados'!$L$1409</f>
        <v>0</v>
      </c>
      <c r="O153" s="78">
        <f t="shared" si="15"/>
        <v>9538.8791176069535</v>
      </c>
      <c r="P153" s="78"/>
      <c r="Q153" s="78"/>
      <c r="R153" s="78">
        <f t="shared" si="19"/>
        <v>9538.8791176069535</v>
      </c>
      <c r="S153" s="78"/>
      <c r="T153" s="78"/>
      <c r="U153" s="78"/>
      <c r="V153" s="78"/>
    </row>
    <row r="154" spans="1:22" s="4" customFormat="1" ht="52.5" customHeight="1">
      <c r="A154" s="12">
        <v>146</v>
      </c>
      <c r="B154" s="11" t="s">
        <v>358</v>
      </c>
      <c r="C154" s="1" t="s">
        <v>367</v>
      </c>
      <c r="D154" s="56">
        <v>1</v>
      </c>
      <c r="E154" s="33" t="s">
        <v>4</v>
      </c>
      <c r="F154" s="8">
        <v>5</v>
      </c>
      <c r="G154" s="66" t="s">
        <v>408</v>
      </c>
      <c r="H154" s="55"/>
      <c r="I154" s="50" t="s">
        <v>3</v>
      </c>
      <c r="J154" s="237">
        <f>'Dados Detalhados'!$L$1438</f>
        <v>10890</v>
      </c>
      <c r="K154" s="237">
        <f>'Dados Detalhados'!$L$1439</f>
        <v>19327.5</v>
      </c>
      <c r="L154" s="237">
        <f>'Dados Detalhados'!$L$1440</f>
        <v>24512.5</v>
      </c>
      <c r="M154" s="237">
        <f>'Dados Detalhados'!$L$1441</f>
        <v>24512.5</v>
      </c>
      <c r="N154" s="237">
        <f>'Dados Detalhados'!$L$1442</f>
        <v>24512.5</v>
      </c>
      <c r="O154" s="78">
        <f t="shared" si="15"/>
        <v>103755</v>
      </c>
      <c r="P154" s="78">
        <f t="shared" si="17"/>
        <v>103755</v>
      </c>
      <c r="Q154" s="78"/>
      <c r="R154" s="78"/>
      <c r="S154" s="78"/>
      <c r="T154" s="78"/>
      <c r="U154" s="78"/>
      <c r="V154" s="78"/>
    </row>
    <row r="155" spans="1:22" s="4" customFormat="1" ht="52.5" customHeight="1">
      <c r="A155" s="12">
        <v>147</v>
      </c>
      <c r="B155" s="11" t="s">
        <v>359</v>
      </c>
      <c r="C155" s="1" t="s">
        <v>366</v>
      </c>
      <c r="D155" s="56">
        <v>1</v>
      </c>
      <c r="E155" s="33" t="s">
        <v>4</v>
      </c>
      <c r="F155" s="8">
        <v>5</v>
      </c>
      <c r="G155" s="66" t="s">
        <v>408</v>
      </c>
      <c r="H155" s="55"/>
      <c r="I155" s="50" t="s">
        <v>3</v>
      </c>
      <c r="J155" s="69">
        <f>'Dados Detalhados'!$L$1464</f>
        <v>0</v>
      </c>
      <c r="K155" s="69">
        <f>'Dados Detalhados'!$L$1465</f>
        <v>0</v>
      </c>
      <c r="L155" s="237">
        <f>'Dados Detalhados'!$L$1466</f>
        <v>33095.055555555555</v>
      </c>
      <c r="M155" s="237">
        <f>'Dados Detalhados'!$L$1467</f>
        <v>33095.055555555555</v>
      </c>
      <c r="N155" s="69">
        <f>'Dados Detalhados'!$L$1468</f>
        <v>0</v>
      </c>
      <c r="O155" s="78">
        <f t="shared" si="15"/>
        <v>66190.111111111109</v>
      </c>
      <c r="P155" s="78">
        <f t="shared" si="17"/>
        <v>66190.111111111109</v>
      </c>
      <c r="Q155" s="78"/>
      <c r="R155" s="78"/>
      <c r="S155" s="78"/>
      <c r="T155" s="78"/>
      <c r="U155" s="78"/>
      <c r="V155" s="78"/>
    </row>
    <row r="156" spans="1:22" s="4" customFormat="1" ht="52.5" customHeight="1">
      <c r="A156" s="12">
        <v>148</v>
      </c>
      <c r="B156" s="11" t="s">
        <v>360</v>
      </c>
      <c r="C156" s="64" t="s">
        <v>395</v>
      </c>
      <c r="D156" s="56">
        <v>2</v>
      </c>
      <c r="E156" s="33" t="s">
        <v>4</v>
      </c>
      <c r="F156" s="8">
        <v>5</v>
      </c>
      <c r="G156" s="66" t="s">
        <v>408</v>
      </c>
      <c r="H156" s="55"/>
      <c r="I156" s="50" t="s">
        <v>3</v>
      </c>
      <c r="J156" s="69">
        <f>'Dados Detalhados'!$L$1485</f>
        <v>0</v>
      </c>
      <c r="K156" s="69">
        <f>'Dados Detalhados'!$L$1486</f>
        <v>0</v>
      </c>
      <c r="L156" s="69">
        <f>'Dados Detalhados'!$L$1487</f>
        <v>15000</v>
      </c>
      <c r="M156" s="69">
        <f>'Dados Detalhados'!$L$1488</f>
        <v>0</v>
      </c>
      <c r="N156" s="69">
        <f>'Dados Detalhados'!$L$1489</f>
        <v>0</v>
      </c>
      <c r="O156" s="78">
        <f t="shared" si="15"/>
        <v>15000</v>
      </c>
      <c r="P156" s="78"/>
      <c r="Q156" s="78"/>
      <c r="R156" s="78"/>
      <c r="S156" s="78"/>
      <c r="T156" s="78"/>
      <c r="U156" s="78"/>
      <c r="V156" s="78">
        <f t="shared" si="21"/>
        <v>15000</v>
      </c>
    </row>
    <row r="157" spans="1:22" s="4" customFormat="1" ht="52.5" customHeight="1">
      <c r="A157" s="12">
        <v>149</v>
      </c>
      <c r="B157" s="11" t="s">
        <v>361</v>
      </c>
      <c r="C157" s="64" t="s">
        <v>396</v>
      </c>
      <c r="D157" s="56">
        <v>1</v>
      </c>
      <c r="E157" s="33" t="s">
        <v>4</v>
      </c>
      <c r="F157" s="8">
        <v>5</v>
      </c>
      <c r="G157" s="66" t="s">
        <v>409</v>
      </c>
      <c r="H157" s="55"/>
      <c r="I157" s="50" t="s">
        <v>3</v>
      </c>
      <c r="J157" s="69">
        <f>'Dados Detalhados'!$L$1491</f>
        <v>0</v>
      </c>
      <c r="K157" s="237">
        <f>'Dados Detalhados'!$L$1492</f>
        <v>4390.6000000000004</v>
      </c>
      <c r="L157" s="69">
        <f>'Dados Detalhados'!$L$1493</f>
        <v>0</v>
      </c>
      <c r="M157" s="69">
        <f>'Dados Detalhados'!$L$1494</f>
        <v>0</v>
      </c>
      <c r="N157" s="69">
        <f>'Dados Detalhados'!$L$1495</f>
        <v>0</v>
      </c>
      <c r="O157" s="78">
        <f t="shared" si="15"/>
        <v>4390.6000000000004</v>
      </c>
      <c r="P157" s="78">
        <f t="shared" si="17"/>
        <v>4390.6000000000004</v>
      </c>
      <c r="Q157" s="78"/>
      <c r="R157" s="78"/>
      <c r="S157" s="78"/>
      <c r="T157" s="78"/>
      <c r="U157" s="78"/>
      <c r="V157" s="78"/>
    </row>
    <row r="158" spans="1:22" s="4" customFormat="1" ht="52.5" customHeight="1">
      <c r="A158" s="12">
        <v>150</v>
      </c>
      <c r="B158" s="11" t="s">
        <v>362</v>
      </c>
      <c r="C158" s="65" t="s">
        <v>391</v>
      </c>
      <c r="D158" s="56">
        <v>2</v>
      </c>
      <c r="E158" s="33" t="s">
        <v>4</v>
      </c>
      <c r="F158" s="8">
        <v>5</v>
      </c>
      <c r="G158" s="66" t="s">
        <v>410</v>
      </c>
      <c r="H158" s="55"/>
      <c r="I158" s="50" t="s">
        <v>3</v>
      </c>
      <c r="J158" s="69">
        <f>'Dados Detalhados'!$L$1497</f>
        <v>0</v>
      </c>
      <c r="K158" s="69">
        <f>'Dados Detalhados'!$L$1498</f>
        <v>0</v>
      </c>
      <c r="L158" s="69">
        <f>'Dados Detalhados'!$L$1499</f>
        <v>10583.9</v>
      </c>
      <c r="M158" s="69">
        <f>'Dados Detalhados'!$L$1500</f>
        <v>0</v>
      </c>
      <c r="N158" s="69">
        <f>'Dados Detalhados'!$L$1501</f>
        <v>0</v>
      </c>
      <c r="O158" s="78">
        <f t="shared" si="15"/>
        <v>10583.9</v>
      </c>
      <c r="P158" s="78"/>
      <c r="Q158" s="78"/>
      <c r="R158" s="78"/>
      <c r="S158" s="78"/>
      <c r="T158" s="78"/>
      <c r="U158" s="78"/>
      <c r="V158" s="78">
        <f t="shared" si="21"/>
        <v>10583.9</v>
      </c>
    </row>
    <row r="159" spans="1:22" s="4" customFormat="1" ht="52.5" customHeight="1">
      <c r="A159" s="12">
        <v>151</v>
      </c>
      <c r="B159" s="11" t="s">
        <v>363</v>
      </c>
      <c r="C159" s="1" t="s">
        <v>365</v>
      </c>
      <c r="D159" s="56">
        <v>1</v>
      </c>
      <c r="E159" s="33" t="s">
        <v>4</v>
      </c>
      <c r="F159" s="8">
        <v>5</v>
      </c>
      <c r="G159" s="66" t="s">
        <v>410</v>
      </c>
      <c r="H159" s="55"/>
      <c r="I159" s="50" t="s">
        <v>3</v>
      </c>
      <c r="J159" s="69">
        <f>'Dados Detalhados'!$L$1503</f>
        <v>0</v>
      </c>
      <c r="K159" s="69">
        <f>'Dados Detalhados'!$L$1504</f>
        <v>0</v>
      </c>
      <c r="L159" s="69">
        <f>'Dados Detalhados'!$L$1505</f>
        <v>0</v>
      </c>
      <c r="M159" s="238">
        <f>'Dados Detalhados'!$L$1506</f>
        <v>5857.4564645041792</v>
      </c>
      <c r="N159" s="69">
        <f>'Dados Detalhados'!$L$1507</f>
        <v>0</v>
      </c>
      <c r="O159" s="78">
        <f t="shared" si="15"/>
        <v>5857.4564645041792</v>
      </c>
      <c r="P159" s="78"/>
      <c r="Q159" s="78"/>
      <c r="R159" s="78">
        <f t="shared" si="19"/>
        <v>5857.4564645041792</v>
      </c>
      <c r="S159" s="78"/>
      <c r="T159" s="78"/>
      <c r="U159" s="78"/>
      <c r="V159" s="78"/>
    </row>
    <row r="160" spans="1:22" s="4" customFormat="1">
      <c r="A160" s="2"/>
      <c r="B160" s="2"/>
      <c r="D160" s="2"/>
      <c r="E160" s="2"/>
      <c r="F160" s="2"/>
      <c r="G160" s="2"/>
      <c r="H160" s="2"/>
      <c r="I160" s="2"/>
      <c r="J160" s="63">
        <f>SUM(J5:J159)</f>
        <v>462140.92699999997</v>
      </c>
      <c r="K160" s="63">
        <f>SUM(K5:K159)</f>
        <v>1116573.8788954862</v>
      </c>
      <c r="L160" s="63">
        <f>SUM(L5:L159)</f>
        <v>1551677.4954232394</v>
      </c>
      <c r="M160" s="63">
        <f>SUM(M5:M159)</f>
        <v>631433.3925087885</v>
      </c>
      <c r="N160" s="63">
        <f>SUM(N5:N159)</f>
        <v>495582.34435871302</v>
      </c>
      <c r="O160" s="63">
        <f t="shared" ref="O160:T160" si="22">SUM(O5:O159)</f>
        <v>4257408.038186227</v>
      </c>
      <c r="P160" s="63">
        <f t="shared" si="22"/>
        <v>2179341.155131171</v>
      </c>
      <c r="Q160" s="63">
        <f t="shared" si="22"/>
        <v>1174870.0574999999</v>
      </c>
      <c r="R160" s="63">
        <f t="shared" si="22"/>
        <v>35487.795582111132</v>
      </c>
      <c r="S160" s="63">
        <f t="shared" si="22"/>
        <v>39169</v>
      </c>
      <c r="T160" s="63">
        <f t="shared" si="22"/>
        <v>380942.52830627892</v>
      </c>
      <c r="U160" s="63">
        <f t="shared" ref="U160" si="23">SUM(U5:U159)</f>
        <v>0</v>
      </c>
      <c r="V160" s="63">
        <f t="shared" ref="V160" si="24">SUM(V5:V159)</f>
        <v>447597.50166666665</v>
      </c>
    </row>
    <row r="161" spans="1:22" s="4" customFormat="1" ht="15" customHeight="1">
      <c r="A161" s="2"/>
      <c r="B161" s="2"/>
      <c r="D161" s="2"/>
      <c r="E161" s="2"/>
      <c r="F161" s="2"/>
      <c r="G161" s="2"/>
      <c r="H161" s="2"/>
      <c r="I161" s="2"/>
      <c r="J161" s="2"/>
      <c r="K161" s="2"/>
      <c r="L161" s="2"/>
      <c r="M161" s="2"/>
      <c r="N161" s="2"/>
      <c r="O161" s="79"/>
      <c r="P161" s="2"/>
      <c r="Q161" s="2"/>
      <c r="R161" s="2"/>
      <c r="S161" s="2"/>
      <c r="T161" s="2"/>
      <c r="U161" s="2"/>
      <c r="V161" s="2"/>
    </row>
    <row r="162" spans="1:22" s="4" customFormat="1" ht="34.5" customHeight="1">
      <c r="A162" s="2"/>
      <c r="B162" s="2"/>
      <c r="D162" s="2"/>
      <c r="E162" s="2"/>
      <c r="F162" s="2"/>
      <c r="G162" s="2"/>
      <c r="H162" s="2"/>
      <c r="I162" s="2"/>
      <c r="K162" s="3"/>
      <c r="M162" s="2"/>
      <c r="O162" s="239"/>
      <c r="P162" s="239"/>
      <c r="Q162" s="2"/>
      <c r="R162" s="2"/>
      <c r="S162" s="2"/>
      <c r="T162" s="2"/>
      <c r="U162" s="2"/>
      <c r="V162" s="2"/>
    </row>
    <row r="163" spans="1:22" ht="15" customHeight="1">
      <c r="L163" s="4"/>
      <c r="P163" s="239"/>
    </row>
    <row r="164" spans="1:22" s="3" customFormat="1" ht="18.75" customHeight="1">
      <c r="J164" s="4"/>
      <c r="M164" s="2"/>
      <c r="N164" s="2"/>
      <c r="O164" s="2"/>
      <c r="P164" s="2"/>
      <c r="Q164" s="2"/>
      <c r="R164" s="2"/>
      <c r="S164" s="2"/>
      <c r="T164" s="2"/>
      <c r="U164" s="2"/>
      <c r="V164" s="2"/>
    </row>
    <row r="166" spans="1:22" s="3" customFormat="1" ht="15" customHeight="1">
      <c r="J166" s="4"/>
      <c r="M166" s="2"/>
      <c r="N166" s="2"/>
      <c r="O166" s="2"/>
      <c r="P166" s="2"/>
      <c r="Q166" s="2"/>
      <c r="R166" s="2"/>
      <c r="S166" s="2"/>
      <c r="T166" s="2"/>
      <c r="U166" s="2"/>
      <c r="V166" s="2"/>
    </row>
  </sheetData>
  <mergeCells count="1">
    <mergeCell ref="P3:U3"/>
  </mergeCell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sheetPr>
    <tabColor theme="3" tint="-0.249977111117893"/>
  </sheetPr>
  <dimension ref="A2:F42"/>
  <sheetViews>
    <sheetView zoomScale="90" zoomScaleNormal="90" workbookViewId="0">
      <selection activeCell="E19" sqref="E19"/>
    </sheetView>
  </sheetViews>
  <sheetFormatPr defaultRowHeight="15"/>
  <cols>
    <col min="1" max="1" width="43.140625" customWidth="1"/>
    <col min="2" max="2" width="67.85546875" style="240" customWidth="1"/>
    <col min="3" max="4" width="24.28515625" style="240" customWidth="1"/>
    <col min="5" max="5" width="12.7109375" bestFit="1" customWidth="1"/>
  </cols>
  <sheetData>
    <row r="2" spans="1:6">
      <c r="A2" s="85" t="s">
        <v>1014</v>
      </c>
      <c r="B2" t="s">
        <v>1019</v>
      </c>
    </row>
    <row r="4" spans="1:6">
      <c r="B4" s="85" t="s">
        <v>905</v>
      </c>
      <c r="C4"/>
      <c r="D4"/>
    </row>
    <row r="5" spans="1:6">
      <c r="A5" s="85" t="s">
        <v>415</v>
      </c>
      <c r="B5" t="s">
        <v>417</v>
      </c>
      <c r="C5" t="s">
        <v>418</v>
      </c>
      <c r="D5" t="s">
        <v>419</v>
      </c>
    </row>
    <row r="6" spans="1:6">
      <c r="A6" s="86" t="s">
        <v>144</v>
      </c>
      <c r="B6" s="87">
        <v>92360.5</v>
      </c>
      <c r="C6" s="87">
        <v>0</v>
      </c>
      <c r="D6" s="87">
        <v>9851.56</v>
      </c>
      <c r="E6" s="348">
        <f>SUM(B6:D6)</f>
        <v>102212.06</v>
      </c>
      <c r="F6" s="347">
        <f>E6/$E$19</f>
        <v>0.13415499302653539</v>
      </c>
    </row>
    <row r="7" spans="1:6">
      <c r="A7" s="241" t="s">
        <v>397</v>
      </c>
      <c r="B7" s="87">
        <v>70528</v>
      </c>
      <c r="C7" s="87">
        <v>0</v>
      </c>
      <c r="D7" s="87">
        <v>0</v>
      </c>
      <c r="E7" s="348"/>
    </row>
    <row r="8" spans="1:6">
      <c r="A8" s="241" t="s">
        <v>398</v>
      </c>
      <c r="B8" s="87">
        <v>21832.5</v>
      </c>
      <c r="C8" s="87">
        <v>0</v>
      </c>
      <c r="D8" s="87">
        <v>5748.5</v>
      </c>
      <c r="E8" s="348"/>
    </row>
    <row r="9" spans="1:6">
      <c r="A9" s="241" t="s">
        <v>399</v>
      </c>
      <c r="B9" s="87"/>
      <c r="C9" s="87"/>
      <c r="D9" s="87">
        <v>4103.0599999999995</v>
      </c>
      <c r="E9" s="348"/>
      <c r="F9" s="347"/>
    </row>
    <row r="10" spans="1:6">
      <c r="A10" s="86" t="s">
        <v>390</v>
      </c>
      <c r="B10" s="87">
        <v>43308.06</v>
      </c>
      <c r="C10" s="87">
        <v>0</v>
      </c>
      <c r="D10" s="87">
        <v>13953</v>
      </c>
      <c r="E10" s="348">
        <f>SUM(B10:D10)</f>
        <v>57261.06</v>
      </c>
      <c r="F10" s="347">
        <f>E10/$E$19</f>
        <v>7.5156073608065671E-2</v>
      </c>
    </row>
    <row r="11" spans="1:6">
      <c r="A11" s="241" t="s">
        <v>401</v>
      </c>
      <c r="B11" s="87">
        <v>18453</v>
      </c>
      <c r="C11" s="87">
        <v>0</v>
      </c>
      <c r="D11" s="87">
        <v>13953</v>
      </c>
      <c r="E11" s="348"/>
    </row>
    <row r="12" spans="1:6">
      <c r="A12" s="241" t="s">
        <v>399</v>
      </c>
      <c r="B12" s="87">
        <v>24855.059999999998</v>
      </c>
      <c r="C12" s="87">
        <v>0</v>
      </c>
      <c r="D12" s="87">
        <v>0</v>
      </c>
      <c r="E12" s="348"/>
    </row>
    <row r="13" spans="1:6">
      <c r="A13" s="86" t="s">
        <v>389</v>
      </c>
      <c r="B13" s="87">
        <v>0</v>
      </c>
      <c r="C13" s="87">
        <v>0</v>
      </c>
      <c r="D13" s="87">
        <v>0</v>
      </c>
      <c r="E13" s="348"/>
      <c r="F13" s="347"/>
    </row>
    <row r="14" spans="1:6">
      <c r="A14" s="241" t="s">
        <v>410</v>
      </c>
      <c r="B14" s="87">
        <v>0</v>
      </c>
      <c r="C14" s="87">
        <v>0</v>
      </c>
      <c r="D14" s="87">
        <v>0</v>
      </c>
      <c r="E14" s="348"/>
    </row>
    <row r="15" spans="1:6">
      <c r="A15" s="86" t="s">
        <v>4</v>
      </c>
      <c r="B15" s="87">
        <v>594558.02999999991</v>
      </c>
      <c r="C15" s="87">
        <v>6860.83</v>
      </c>
      <c r="D15" s="87">
        <v>1003.33</v>
      </c>
      <c r="E15" s="348">
        <f>SUM(B15:D15)</f>
        <v>602422.18999999983</v>
      </c>
      <c r="F15" s="347">
        <f>E15/$E$19</f>
        <v>0.79068893336539892</v>
      </c>
    </row>
    <row r="16" spans="1:6">
      <c r="A16" s="241" t="s">
        <v>407</v>
      </c>
      <c r="B16" s="87">
        <v>564558.02999999991</v>
      </c>
      <c r="C16" s="87">
        <v>1003.33</v>
      </c>
      <c r="D16" s="87">
        <v>1003.33</v>
      </c>
      <c r="E16" s="348"/>
    </row>
    <row r="17" spans="1:6">
      <c r="A17" s="241" t="s">
        <v>402</v>
      </c>
      <c r="B17" s="87">
        <v>30000</v>
      </c>
      <c r="C17" s="87">
        <v>0</v>
      </c>
      <c r="D17" s="87">
        <v>0</v>
      </c>
      <c r="E17" s="348"/>
    </row>
    <row r="18" spans="1:6">
      <c r="A18" s="241" t="s">
        <v>410</v>
      </c>
      <c r="B18" s="87">
        <v>0</v>
      </c>
      <c r="C18" s="87">
        <v>5857.5</v>
      </c>
      <c r="D18" s="87">
        <v>0</v>
      </c>
      <c r="E18" s="348"/>
    </row>
    <row r="19" spans="1:6">
      <c r="A19" s="86" t="s">
        <v>416</v>
      </c>
      <c r="B19" s="87">
        <v>730226.58999999985</v>
      </c>
      <c r="C19" s="87">
        <v>6860.83</v>
      </c>
      <c r="D19" s="87">
        <v>24807.89</v>
      </c>
      <c r="E19" s="348">
        <f>SUM(B19:D19)</f>
        <v>761895.30999999982</v>
      </c>
      <c r="F19" s="347">
        <f>E19/$E$19</f>
        <v>1</v>
      </c>
    </row>
    <row r="20" spans="1:6">
      <c r="B20"/>
      <c r="C20"/>
      <c r="D20"/>
      <c r="E20" s="348"/>
    </row>
    <row r="21" spans="1:6">
      <c r="B21"/>
      <c r="C21"/>
      <c r="D21"/>
      <c r="E21" s="348">
        <f>SUM(E6:E18)</f>
        <v>761895.30999999982</v>
      </c>
      <c r="F21" s="348">
        <f>SUM(F6:F18)</f>
        <v>1</v>
      </c>
    </row>
    <row r="22" spans="1:6">
      <c r="B22"/>
      <c r="C22"/>
      <c r="D22"/>
      <c r="E22" s="348"/>
    </row>
    <row r="23" spans="1:6">
      <c r="B23"/>
      <c r="C23"/>
      <c r="D23"/>
      <c r="E23" s="348"/>
    </row>
    <row r="24" spans="1:6">
      <c r="B24"/>
      <c r="C24"/>
      <c r="D24"/>
      <c r="E24" s="348"/>
    </row>
    <row r="25" spans="1:6">
      <c r="B25"/>
      <c r="C25"/>
      <c r="D25"/>
      <c r="E25" s="348"/>
    </row>
    <row r="26" spans="1:6">
      <c r="B26"/>
      <c r="C26"/>
      <c r="D26"/>
      <c r="E26" s="348"/>
    </row>
    <row r="27" spans="1:6">
      <c r="B27"/>
      <c r="C27"/>
      <c r="D27"/>
      <c r="E27" s="348"/>
    </row>
    <row r="28" spans="1:6">
      <c r="B28"/>
      <c r="C28"/>
      <c r="D28"/>
      <c r="E28" s="348"/>
    </row>
    <row r="29" spans="1:6">
      <c r="B29"/>
      <c r="C29"/>
      <c r="D29"/>
      <c r="E29" s="348">
        <f>SUM(B29:D29)</f>
        <v>0</v>
      </c>
      <c r="F29" s="347" t="e">
        <f>E29/$E$36</f>
        <v>#DIV/0!</v>
      </c>
    </row>
    <row r="30" spans="1:6">
      <c r="B30"/>
      <c r="C30"/>
      <c r="D30"/>
      <c r="E30" s="348"/>
    </row>
    <row r="31" spans="1:6">
      <c r="B31"/>
      <c r="C31"/>
      <c r="D31"/>
      <c r="E31" s="348"/>
    </row>
    <row r="32" spans="1:6">
      <c r="B32"/>
      <c r="C32"/>
      <c r="D32"/>
      <c r="E32" s="348"/>
    </row>
    <row r="33" spans="2:6">
      <c r="B33"/>
      <c r="C33"/>
      <c r="D33"/>
      <c r="E33" s="348"/>
    </row>
    <row r="34" spans="2:6">
      <c r="B34"/>
      <c r="C34"/>
      <c r="D34"/>
      <c r="E34" s="348"/>
    </row>
    <row r="35" spans="2:6">
      <c r="B35"/>
      <c r="C35"/>
      <c r="D35"/>
      <c r="E35" s="348"/>
    </row>
    <row r="36" spans="2:6">
      <c r="B36"/>
      <c r="C36"/>
      <c r="D36"/>
      <c r="E36" s="348">
        <f>SUM(B36:D36)</f>
        <v>0</v>
      </c>
      <c r="F36" s="347" t="e">
        <f>E36/$E$36</f>
        <v>#DIV/0!</v>
      </c>
    </row>
    <row r="37" spans="2:6">
      <c r="E37" s="348"/>
    </row>
    <row r="38" spans="2:6">
      <c r="E38" s="348"/>
    </row>
    <row r="39" spans="2:6">
      <c r="E39" s="348"/>
    </row>
    <row r="40" spans="2:6">
      <c r="E40" s="348"/>
    </row>
    <row r="41" spans="2:6">
      <c r="E41" s="348"/>
    </row>
    <row r="42" spans="2:6">
      <c r="E42" s="34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28e6c43a-9e99-4bdd-9574-a0fa4ea3b61e" ContentTypeId="0x010100F075C04BA242A84ABD3293E3AD35CDA4" PreviousValue="false"/>
</file>

<file path=customXml/item4.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DocFormat xmlns="1ed4137b-41b2-488b-8250-6d369ec27664" xsi:nil="true"/>
    <UNDPPublishedDate xmlns="f1161f5b-24a3-4c2d-bc81-44cb9325e8ee">2015-06-08T10:00:00+00:00</UNDPPublishedDate>
    <UNDPCountryTaxHTField0 xmlns="1ed4137b-41b2-488b-8250-6d369ec27664">
      <Terms xmlns="http://schemas.microsoft.com/office/infopath/2007/PartnerControls"/>
    </UNDPCountryTaxHTField0>
    <UndpOUCode xmlns="1ed4137b-41b2-488b-8250-6d369ec27664" xsi:nil="true"/>
    <PDC_x0020_Document_x0020_Category xmlns="f1161f5b-24a3-4c2d-bc81-44cb9325e8ee">Project</PDC_x0020_Document_x0020_Category>
    <UNDPSummary xmlns="f1161f5b-24a3-4c2d-bc81-44cb9325e8ee" xsi:nil="tru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UNDPFocusAreasTaxHTField0>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Budget</TermName>
          <TermId xmlns="http://schemas.microsoft.com/office/infopath/2007/PartnerControls">1c1fa43a-cb36-4844-8715-9a4cc93e1ac9</TermId>
        </TermInfo>
      </Terms>
    </idff2b682fce4d0680503cd9036a326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_Publisher xmlns="http://schemas.microsoft.com/sharepoint/v3/fields" xsi:nil="true"/>
    <UNDPPOPPFunctionalArea xmlns="f1161f5b-24a3-4c2d-bc81-44cb9325e8ee">Programme and Project</UNDPPOPPFunctionalArea>
    <Project_x0020_Number xmlns="f1161f5b-24a3-4c2d-bc81-44cb9325e8ee" xsi:nil="true"/>
    <Project_x0020_Manager xmlns="f1161f5b-24a3-4c2d-bc81-44cb9325e8ee" xsi:nil="true"/>
    <TaxCatchAll xmlns="1ed4137b-41b2-488b-8250-6d369ec27664">
      <Value>1631</Value>
      <Value>1109</Value>
      <Value>240</Value>
      <Value>763</Value>
    </TaxCatchAll>
    <c4e2ab2cc9354bbf9064eeb465a566ea xmlns="1ed4137b-41b2-488b-8250-6d369ec27664">
      <Terms xmlns="http://schemas.microsoft.com/office/infopath/2007/PartnerControls"/>
    </c4e2ab2cc9354bbf9064eeb465a566ea>
    <UndpProjectNo xmlns="1ed4137b-41b2-488b-8250-6d369ec27664">00058652</UndpProjectNo>
    <UndpDocStatus xmlns="1ed4137b-41b2-488b-8250-6d369ec27664">Final</UndpDocStatus>
    <Outcome1 xmlns="f1161f5b-24a3-4c2d-bc81-44cb9325e8ee" xsi:nil="true"/>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Other</TermName>
          <TermId xmlns="http://schemas.microsoft.com/office/infopath/2007/PartnerControls">7e57d59d-ce28-4e45-9546-a337967e9c54</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STP</TermName>
          <TermId xmlns="http://schemas.microsoft.com/office/infopath/2007/PartnerControls">b1983676-fe5e-40b2-a71b-035d2ff29082</TermId>
        </TermInfo>
      </Terms>
    </gc6531b704974d528487414686b72f6f>
    <_dlc_DocId xmlns="f1161f5b-24a3-4c2d-bc81-44cb9325e8ee">ATLASPDC-4-33302</_dlc_DocId>
    <_dlc_DocIdUrl xmlns="f1161f5b-24a3-4c2d-bc81-44cb9325e8ee">
      <Url>https://info.undp.org/docs/pdc/_layouts/DocIdRedir.aspx?ID=ATLASPDC-4-33302</Url>
      <Description>ATLASPDC-4-33302</Description>
    </_dlc_DocIdUrl>
    <Document_x0020_Coverage_x0020_Period_x0020_Start_x0020_Date xmlns="f1161f5b-24a3-4c2d-bc81-44cb9325e8ee" xsi:nil="true"/>
    <Document_x0020_Coverage_x0020_Period_x0020_End_x0020_Date xmlns="f1161f5b-24a3-4c2d-bc81-44cb9325e8ee" xsi:nil="true"/>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Props1.xml><?xml version="1.0" encoding="utf-8"?>
<ds:datastoreItem xmlns:ds="http://schemas.openxmlformats.org/officeDocument/2006/customXml" ds:itemID="{096C5725-863A-49F3-989F-494F92B49428}"/>
</file>

<file path=customXml/itemProps2.xml><?xml version="1.0" encoding="utf-8"?>
<ds:datastoreItem xmlns:ds="http://schemas.openxmlformats.org/officeDocument/2006/customXml" ds:itemID="{556D4454-6C74-4012-9AC3-814961002D59}"/>
</file>

<file path=customXml/itemProps3.xml><?xml version="1.0" encoding="utf-8"?>
<ds:datastoreItem xmlns:ds="http://schemas.openxmlformats.org/officeDocument/2006/customXml" ds:itemID="{D8077966-1D03-4421-993E-8BDBD4A7802F}"/>
</file>

<file path=customXml/itemProps4.xml><?xml version="1.0" encoding="utf-8"?>
<ds:datastoreItem xmlns:ds="http://schemas.openxmlformats.org/officeDocument/2006/customXml" ds:itemID="{ECC43B54-8ADA-4AFD-8D5D-D68F2AD16BD5}"/>
</file>

<file path=customXml/itemProps5.xml><?xml version="1.0" encoding="utf-8"?>
<ds:datastoreItem xmlns:ds="http://schemas.openxmlformats.org/officeDocument/2006/customXml" ds:itemID="{9372FE74-BECC-41A7-A1BF-B5E0A1FC87E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Folhas de cálculo</vt:lpstr>
      </vt:variant>
      <vt:variant>
        <vt:i4>19</vt:i4>
      </vt:variant>
    </vt:vector>
  </HeadingPairs>
  <TitlesOfParts>
    <vt:vector size="19" baseType="lpstr">
      <vt:lpstr>PEN Final Ajustado 03-07</vt:lpstr>
      <vt:lpstr>GAP 15-17</vt:lpstr>
      <vt:lpstr>Dados Detalhados</vt:lpstr>
      <vt:lpstr>Unit price list</vt:lpstr>
      <vt:lpstr>Para word </vt:lpstr>
      <vt:lpstr>Para word  (2)</vt:lpstr>
      <vt:lpstr>Tab Dinamica 2013-2017</vt:lpstr>
      <vt:lpstr>GAP 13-17 </vt:lpstr>
      <vt:lpstr>RSS</vt:lpstr>
      <vt:lpstr>Tab Dinamica 2015-2017</vt:lpstr>
      <vt:lpstr>Tab Din2013-2017-Parceiros</vt:lpstr>
      <vt:lpstr>Tab Din15-17-Prioridade FG</vt:lpstr>
      <vt:lpstr>RSS- FG</vt:lpstr>
      <vt:lpstr>GAP 15</vt:lpstr>
      <vt:lpstr>Tab Din2015</vt:lpstr>
      <vt:lpstr>GAP 16</vt:lpstr>
      <vt:lpstr>Tab Din2016</vt:lpstr>
      <vt:lpstr>GAP 17</vt:lpstr>
      <vt:lpstr>Tab Din2017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TB National Strategic Plan Budget June 2014</dc:title>
  <dc:subject/>
  <dc:creator>CNE/PNLT</dc:creator>
  <cp:lastModifiedBy>Lexos(F)</cp:lastModifiedBy>
  <cp:lastPrinted>2014-07-04T11:25:14Z</cp:lastPrinted>
  <dcterms:created xsi:type="dcterms:W3CDTF">2012-07-26T11:34:49Z</dcterms:created>
  <dcterms:modified xsi:type="dcterms:W3CDTF">2014-07-15T22:35:52Z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UNDPCountry">
    <vt:lpwstr/>
  </property>
  <property fmtid="{D5CDD505-2E9C-101B-9397-08002B2CF9AE}" pid="4" name="Atlas_x0020_Document_x0020_Type">
    <vt:lpwstr>287;#Budget|fc549c7a-78dd-43bd-a1be-cfb989f8b34d</vt:lpwstr>
  </property>
  <property fmtid="{D5CDD505-2E9C-101B-9397-08002B2CF9AE}" pid="5" name="UndpDocTypeMM">
    <vt:lpwstr/>
  </property>
  <property fmtid="{D5CDD505-2E9C-101B-9397-08002B2CF9AE}" pid="6" name="UNDPDocumentCategory">
    <vt:lpwstr/>
  </property>
  <property fmtid="{D5CDD505-2E9C-101B-9397-08002B2CF9AE}" pid="7" name="UnitTaxHTField0">
    <vt:lpwstr/>
  </property>
  <property fmtid="{D5CDD505-2E9C-101B-9397-08002B2CF9AE}" pid="8" name="UN Languages">
    <vt:lpwstr>240;#Other|7e57d59d-ce28-4e45-9546-a337967e9c54</vt:lpwstr>
  </property>
  <property fmtid="{D5CDD505-2E9C-101B-9397-08002B2CF9AE}" pid="9" name="Operating Unit0">
    <vt:lpwstr>1631;#STP|b1983676-fe5e-40b2-a71b-035d2ff29082</vt:lpwstr>
  </property>
  <property fmtid="{D5CDD505-2E9C-101B-9397-08002B2CF9AE}" pid="10" name="Atlas Document Status">
    <vt:lpwstr>763;#Draft|121d40a5-e62e-4d42-82e4-d6d12003de0a</vt:lpwstr>
  </property>
  <property fmtid="{D5CDD505-2E9C-101B-9397-08002B2CF9AE}" pid="12" name="UndpUnitMM">
    <vt:lpwstr/>
  </property>
  <property fmtid="{D5CDD505-2E9C-101B-9397-08002B2CF9AE}" pid="13" name="eRegFilingCodeMM">
    <vt:lpwstr/>
  </property>
  <property fmtid="{D5CDD505-2E9C-101B-9397-08002B2CF9AE}" pid="14" name="Unit">
    <vt:lpwstr/>
  </property>
  <property fmtid="{D5CDD505-2E9C-101B-9397-08002B2CF9AE}" pid="15" name="UNDPFocusAreas">
    <vt:lpwstr/>
  </property>
  <property fmtid="{D5CDD505-2E9C-101B-9397-08002B2CF9AE}" pid="16" name="Atlas Document Type">
    <vt:lpwstr>1109;#Budget|1c1fa43a-cb36-4844-8715-9a4cc93e1ac9</vt:lpwstr>
  </property>
  <property fmtid="{D5CDD505-2E9C-101B-9397-08002B2CF9AE}" pid="17" name="_dlc_DocIdItemGuid">
    <vt:lpwstr>d5f264f8-fe3d-4102-8f93-a80b7d2adc66</vt:lpwstr>
  </property>
  <property fmtid="{D5CDD505-2E9C-101B-9397-08002B2CF9AE}" pid="18" name="DocumentSetDescription">
    <vt:lpwstr/>
  </property>
  <property fmtid="{D5CDD505-2E9C-101B-9397-08002B2CF9AE}" pid="19" name="URL">
    <vt:lpwstr/>
  </property>
</Properties>
</file>